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Save\Academics\cee6400\Fall13\www\"/>
    </mc:Choice>
  </mc:AlternateContent>
  <bookViews>
    <workbookView xWindow="435" yWindow="120" windowWidth="14925" windowHeight="6885"/>
  </bookViews>
  <sheets>
    <sheet name="SOLARRAD" sheetId="4" r:id="rId1"/>
    <sheet name="DirectApproach" sheetId="6" r:id="rId2"/>
  </sheets>
  <definedNames>
    <definedName name="solver_adj" localSheetId="1" hidden="1">DirectApproach!$A$101</definedName>
    <definedName name="solver_cvg" localSheetId="1" hidden="1">0.0001</definedName>
    <definedName name="solver_drv" localSheetId="1" hidden="1">1</definedName>
    <definedName name="solver_eng" localSheetId="1" hidden="1">1</definedName>
    <definedName name="solver_est" localSheetId="1" hidden="1">1</definedName>
    <definedName name="solver_itr" localSheetId="1" hidden="1">100</definedName>
    <definedName name="solver_lin" localSheetId="1" hidden="1">2</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2</definedName>
    <definedName name="solver_nod" localSheetId="1" hidden="1">2147483647</definedName>
    <definedName name="solver_num" localSheetId="1" hidden="1">0</definedName>
    <definedName name="solver_nwt" localSheetId="1" hidden="1">1</definedName>
    <definedName name="solver_opt" localSheetId="1" hidden="1">DirectApproach!$G$102</definedName>
    <definedName name="solver_pre" localSheetId="1" hidden="1">0.000001</definedName>
    <definedName name="solver_rbv" localSheetId="1" hidden="1">1</definedName>
    <definedName name="solver_rlx" localSheetId="1" hidden="1">1</definedName>
    <definedName name="solver_rsd" localSheetId="1" hidden="1">0</definedName>
    <definedName name="solver_scl" localSheetId="1" hidden="1">2</definedName>
    <definedName name="solver_sho" localSheetId="1" hidden="1">2</definedName>
    <definedName name="solver_ssz" localSheetId="1" hidden="1">100</definedName>
    <definedName name="solver_tim" localSheetId="1" hidden="1">100</definedName>
    <definedName name="solver_tol" localSheetId="1" hidden="1">0.05</definedName>
    <definedName name="solver_typ" localSheetId="1" hidden="1">3</definedName>
    <definedName name="solver_val" localSheetId="1" hidden="1">0</definedName>
    <definedName name="solver_ver" localSheetId="1" hidden="1">3</definedName>
  </definedNames>
  <calcPr calcId="152511"/>
</workbook>
</file>

<file path=xl/calcChain.xml><?xml version="1.0" encoding="utf-8"?>
<calcChain xmlns="http://schemas.openxmlformats.org/spreadsheetml/2006/main">
  <c r="P80" i="6" l="1"/>
  <c r="B5" i="6"/>
  <c r="D23" i="4" l="1"/>
  <c r="D21" i="4"/>
  <c r="F107" i="6" l="1"/>
  <c r="F103" i="6"/>
  <c r="B123" i="6" l="1"/>
  <c r="B122" i="6"/>
  <c r="D5" i="6"/>
  <c r="B6" i="6"/>
  <c r="D6" i="6" s="1"/>
  <c r="B4" i="6"/>
  <c r="B11" i="6"/>
  <c r="D4" i="6"/>
  <c r="A76" i="6"/>
  <c r="B76" i="6" s="1"/>
  <c r="A77" i="6"/>
  <c r="A78" i="6" s="1"/>
  <c r="E110" i="6"/>
  <c r="B101" i="6"/>
  <c r="B106" i="6"/>
  <c r="B77" i="6"/>
  <c r="B75" i="6"/>
  <c r="F11" i="4"/>
  <c r="F10" i="4"/>
  <c r="D22" i="4"/>
  <c r="D19" i="4"/>
  <c r="D20" i="4" s="1"/>
  <c r="B10" i="6" s="1"/>
  <c r="F9" i="4"/>
  <c r="D59" i="4"/>
  <c r="D37" i="4"/>
  <c r="F12" i="4"/>
  <c r="B8" i="6" s="1"/>
  <c r="D6" i="4"/>
  <c r="F19" i="4" l="1"/>
  <c r="D38" i="4"/>
  <c r="B15" i="6" s="1"/>
  <c r="D13" i="4"/>
  <c r="F13" i="4" s="1"/>
  <c r="C101" i="6" s="1"/>
  <c r="D101" i="6" s="1"/>
  <c r="E101" i="6" s="1"/>
  <c r="F101" i="6" s="1"/>
  <c r="E24" i="4"/>
  <c r="E25" i="4" s="1"/>
  <c r="C24" i="4"/>
  <c r="C25" i="4" s="1"/>
  <c r="D39" i="4"/>
  <c r="B78" i="6"/>
  <c r="A79" i="6"/>
  <c r="B14" i="6" l="1"/>
  <c r="E126" i="6" s="1"/>
  <c r="F40" i="4"/>
  <c r="C40" i="4"/>
  <c r="F28" i="4"/>
  <c r="F40" i="6" s="1"/>
  <c r="C28" i="4"/>
  <c r="C75" i="6"/>
  <c r="C106" i="6"/>
  <c r="G106" i="6" s="1"/>
  <c r="C60" i="4"/>
  <c r="C63" i="4" s="1"/>
  <c r="F63" i="4" s="1"/>
  <c r="F50" i="4"/>
  <c r="D51" i="4" s="1"/>
  <c r="C76" i="6"/>
  <c r="E125" i="6"/>
  <c r="F38" i="4"/>
  <c r="D15" i="6" s="1"/>
  <c r="B16" i="6" s="1"/>
  <c r="C78" i="6"/>
  <c r="H32" i="4"/>
  <c r="B20" i="6"/>
  <c r="F20" i="6" s="1"/>
  <c r="C50" i="4"/>
  <c r="F60" i="4"/>
  <c r="D61" i="4" s="1"/>
  <c r="C77" i="6"/>
  <c r="B79" i="6"/>
  <c r="C79" i="6" s="1"/>
  <c r="A80" i="6"/>
  <c r="E124" i="6"/>
  <c r="F39" i="4"/>
  <c r="D14" i="6" s="1"/>
  <c r="G101" i="6"/>
  <c r="G102" i="6" s="1"/>
  <c r="H101" i="6"/>
  <c r="C42" i="4" l="1"/>
  <c r="G77" i="6"/>
  <c r="G76" i="6"/>
  <c r="G75" i="6"/>
  <c r="D78" i="6"/>
  <c r="E78" i="6" s="1"/>
  <c r="F78" i="6" s="1"/>
  <c r="H78" i="6"/>
  <c r="D106" i="6"/>
  <c r="E106" i="6" s="1"/>
  <c r="F106" i="6" s="1"/>
  <c r="B17" i="6"/>
  <c r="D75" i="6"/>
  <c r="E75" i="6" s="1"/>
  <c r="F75" i="6" s="1"/>
  <c r="D29" i="4"/>
  <c r="D77" i="6"/>
  <c r="E77" i="6" s="1"/>
  <c r="F77" i="6" s="1"/>
  <c r="C40" i="6"/>
  <c r="C30" i="4"/>
  <c r="B29" i="6"/>
  <c r="B30" i="6" s="1"/>
  <c r="F30" i="6" s="1"/>
  <c r="G78" i="6"/>
  <c r="D76" i="6"/>
  <c r="E76" i="6" s="1"/>
  <c r="F76" i="6" s="1"/>
  <c r="C52" i="4"/>
  <c r="B21" i="6"/>
  <c r="B22" i="6" s="1"/>
  <c r="B80" i="6"/>
  <c r="C80" i="6" s="1"/>
  <c r="A81" i="6"/>
  <c r="C64" i="4"/>
  <c r="G79" i="6"/>
  <c r="D79" i="6"/>
  <c r="E79" i="6" s="1"/>
  <c r="F79" i="6" s="1"/>
  <c r="B31" i="6" l="1"/>
  <c r="B32" i="6" s="1"/>
  <c r="B33" i="6" s="1"/>
  <c r="B34" i="6" s="1"/>
  <c r="H77" i="6"/>
  <c r="H75" i="6"/>
  <c r="H76" i="6"/>
  <c r="H106" i="6"/>
  <c r="D41" i="4"/>
  <c r="E117" i="6"/>
  <c r="F30" i="4"/>
  <c r="C31" i="4"/>
  <c r="C32" i="4"/>
  <c r="F32" i="4" s="1"/>
  <c r="F52" i="4"/>
  <c r="C54" i="4"/>
  <c r="C53" i="4"/>
  <c r="B23" i="6"/>
  <c r="B25" i="6" s="1"/>
  <c r="H22" i="6"/>
  <c r="H79" i="6"/>
  <c r="B81" i="6"/>
  <c r="C81" i="6" s="1"/>
  <c r="A82" i="6"/>
  <c r="F64" i="4"/>
  <c r="G80" i="6"/>
  <c r="D80" i="6"/>
  <c r="E80" i="6" s="1"/>
  <c r="F80" i="6" s="1"/>
  <c r="F33" i="6" l="1"/>
  <c r="F42" i="4"/>
  <c r="C44" i="4"/>
  <c r="F44" i="4" s="1"/>
  <c r="C43" i="4"/>
  <c r="F43" i="4" s="1"/>
  <c r="F31" i="4"/>
  <c r="C33" i="4"/>
  <c r="C55" i="4"/>
  <c r="F53" i="4"/>
  <c r="C65" i="4"/>
  <c r="F54" i="4"/>
  <c r="B24" i="6"/>
  <c r="F24" i="6" s="1"/>
  <c r="H80" i="6"/>
  <c r="G81" i="6"/>
  <c r="D81" i="6"/>
  <c r="E81" i="6" s="1"/>
  <c r="F81" i="6" s="1"/>
  <c r="B82" i="6"/>
  <c r="C82" i="6" s="1"/>
  <c r="A83" i="6"/>
  <c r="C45" i="4" l="1"/>
  <c r="C46" i="4" s="1"/>
  <c r="F46" i="4" s="1"/>
  <c r="C34" i="4"/>
  <c r="F33" i="4"/>
  <c r="F65" i="4"/>
  <c r="C66" i="4"/>
  <c r="F55" i="4"/>
  <c r="C56" i="4"/>
  <c r="B83" i="6"/>
  <c r="C83" i="6" s="1"/>
  <c r="A84" i="6"/>
  <c r="H81" i="6"/>
  <c r="G82" i="6"/>
  <c r="D82" i="6"/>
  <c r="E82" i="6" s="1"/>
  <c r="F82" i="6" s="1"/>
  <c r="F34" i="4" l="1"/>
  <c r="C35" i="4"/>
  <c r="F35" i="4" s="1"/>
  <c r="C47" i="4"/>
  <c r="F45" i="4"/>
  <c r="F66" i="4"/>
  <c r="C57" i="4"/>
  <c r="F57" i="4" s="1"/>
  <c r="C67" i="4"/>
  <c r="F67" i="4" s="1"/>
  <c r="F56" i="4"/>
  <c r="B84" i="6"/>
  <c r="C84" i="6" s="1"/>
  <c r="A85" i="6"/>
  <c r="H82" i="6"/>
  <c r="G83" i="6"/>
  <c r="D83" i="6"/>
  <c r="E83" i="6" s="1"/>
  <c r="F83" i="6" s="1"/>
  <c r="F47" i="4" l="1"/>
  <c r="E132" i="6"/>
  <c r="C68" i="4"/>
  <c r="F68" i="4" s="1"/>
  <c r="H83" i="6"/>
  <c r="B85" i="6"/>
  <c r="C85" i="6" s="1"/>
  <c r="A86" i="6"/>
  <c r="G84" i="6"/>
  <c r="D84" i="6"/>
  <c r="E84" i="6" s="1"/>
  <c r="F84" i="6" s="1"/>
  <c r="B86" i="6" l="1"/>
  <c r="C86" i="6" s="1"/>
  <c r="A87" i="6"/>
  <c r="H84" i="6"/>
  <c r="G85" i="6"/>
  <c r="D85" i="6"/>
  <c r="E85" i="6" s="1"/>
  <c r="F85" i="6" s="1"/>
  <c r="G86" i="6" l="1"/>
  <c r="D86" i="6"/>
  <c r="E86" i="6" s="1"/>
  <c r="F86" i="6" s="1"/>
  <c r="H85" i="6"/>
  <c r="B87" i="6"/>
  <c r="C87" i="6" s="1"/>
  <c r="A88" i="6"/>
  <c r="G87" i="6" l="1"/>
  <c r="D87" i="6"/>
  <c r="E87" i="6" s="1"/>
  <c r="F87" i="6" s="1"/>
  <c r="B88" i="6"/>
  <c r="C88" i="6" s="1"/>
  <c r="A89" i="6"/>
  <c r="H86" i="6"/>
  <c r="B89" i="6" l="1"/>
  <c r="C89" i="6" s="1"/>
  <c r="A90" i="6"/>
  <c r="H87" i="6"/>
  <c r="G88" i="6"/>
  <c r="D88" i="6"/>
  <c r="E88" i="6" s="1"/>
  <c r="F88" i="6" s="1"/>
  <c r="G89" i="6" l="1"/>
  <c r="D89" i="6"/>
  <c r="E89" i="6" s="1"/>
  <c r="F89" i="6" s="1"/>
  <c r="H88" i="6"/>
  <c r="B90" i="6"/>
  <c r="C90" i="6" s="1"/>
  <c r="A91" i="6"/>
  <c r="G90" i="6" l="1"/>
  <c r="D90" i="6"/>
  <c r="E90" i="6" s="1"/>
  <c r="F90" i="6" s="1"/>
  <c r="H89" i="6"/>
  <c r="B91" i="6"/>
  <c r="C91" i="6" s="1"/>
  <c r="A92" i="6"/>
  <c r="G91" i="6" l="1"/>
  <c r="D91" i="6"/>
  <c r="E91" i="6" s="1"/>
  <c r="F91" i="6" s="1"/>
  <c r="H90" i="6"/>
  <c r="A93" i="6"/>
  <c r="B92" i="6"/>
  <c r="C92" i="6" s="1"/>
  <c r="B93" i="6" l="1"/>
  <c r="C93" i="6" s="1"/>
  <c r="A94" i="6"/>
  <c r="H91" i="6"/>
  <c r="H111" i="6" s="1"/>
  <c r="E112" i="6" s="1"/>
  <c r="G92" i="6"/>
  <c r="D92" i="6"/>
  <c r="E92" i="6" s="1"/>
  <c r="F92" i="6" s="1"/>
  <c r="H93" i="6" l="1"/>
  <c r="H92" i="6"/>
  <c r="G93" i="6"/>
  <c r="D93" i="6"/>
  <c r="E93" i="6" s="1"/>
  <c r="F93" i="6" s="1"/>
  <c r="B94" i="6"/>
  <c r="C94" i="6" s="1"/>
  <c r="A95" i="6"/>
  <c r="B95" i="6" l="1"/>
  <c r="C95" i="6" s="1"/>
  <c r="A96" i="6"/>
  <c r="G94" i="6"/>
  <c r="D94" i="6"/>
  <c r="E94" i="6" s="1"/>
  <c r="F94" i="6" s="1"/>
  <c r="H94" i="6" l="1"/>
  <c r="B96" i="6"/>
  <c r="C96" i="6" s="1"/>
  <c r="A97" i="6"/>
  <c r="B97" i="6" s="1"/>
  <c r="C97" i="6" s="1"/>
  <c r="G95" i="6"/>
  <c r="D95" i="6"/>
  <c r="E95" i="6" s="1"/>
  <c r="F95" i="6" s="1"/>
  <c r="H95" i="6" l="1"/>
  <c r="H96" i="6"/>
  <c r="G96" i="6"/>
  <c r="D96" i="6"/>
  <c r="E96" i="6" s="1"/>
  <c r="F96" i="6" s="1"/>
  <c r="G97" i="6"/>
  <c r="D97" i="6"/>
  <c r="E97" i="6" s="1"/>
  <c r="F97" i="6" s="1"/>
  <c r="H97" i="6" l="1"/>
</calcChain>
</file>

<file path=xl/sharedStrings.xml><?xml version="1.0" encoding="utf-8"?>
<sst xmlns="http://schemas.openxmlformats.org/spreadsheetml/2006/main" count="329" uniqueCount="162">
  <si>
    <t>cm</t>
  </si>
  <si>
    <t>A</t>
  </si>
  <si>
    <t>TOTAL DAILY GLOBAL CLEAR-SKY RADIATION</t>
  </si>
  <si>
    <t>SolarRad.xls</t>
  </si>
  <si>
    <t>ON HORIZONTAL AND SLOPING SURFACES</t>
  </si>
  <si>
    <t>S.L. Dingman</t>
  </si>
  <si>
    <t>See Appendix E for symbol definitions and equations.</t>
  </si>
  <si>
    <r>
      <t>Physical Hydrology</t>
    </r>
    <r>
      <rPr>
        <sz val="10"/>
        <rFont val="Helv"/>
      </rPr>
      <t>, 2nd Ed.</t>
    </r>
  </si>
  <si>
    <t>MJ/m^2 hr</t>
  </si>
  <si>
    <t>MJ/m^2 day</t>
  </si>
  <si>
    <t xml:space="preserve">W/m^2 </t>
  </si>
  <si>
    <t>cal/cm^2day</t>
  </si>
  <si>
    <r>
      <t>Solar Constant (</t>
    </r>
    <r>
      <rPr>
        <i/>
        <sz val="8"/>
        <rFont val="Arial"/>
        <family val="2"/>
      </rPr>
      <t>Isc</t>
    </r>
    <r>
      <rPr>
        <sz val="8"/>
        <rFont val="Arial"/>
        <family val="2"/>
      </rPr>
      <t>) =</t>
    </r>
  </si>
  <si>
    <t xml:space="preserve">Input data </t>
  </si>
  <si>
    <t>Computed values</t>
  </si>
  <si>
    <t>Site:</t>
  </si>
  <si>
    <t>Location:</t>
  </si>
  <si>
    <r>
      <t xml:space="preserve">Latitude. </t>
    </r>
    <r>
      <rPr>
        <i/>
        <sz val="10"/>
        <rFont val="Symbol"/>
        <family val="1"/>
        <charset val="2"/>
      </rPr>
      <t>L</t>
    </r>
    <r>
      <rPr>
        <sz val="10"/>
        <rFont val="Arial"/>
        <family val="2"/>
      </rPr>
      <t>:</t>
    </r>
  </si>
  <si>
    <t>degrees       =</t>
  </si>
  <si>
    <t>radians</t>
  </si>
  <si>
    <r>
      <t xml:space="preserve">Slope Azimuth, </t>
    </r>
    <r>
      <rPr>
        <sz val="10"/>
        <rFont val="Symbol"/>
        <family val="1"/>
        <charset val="2"/>
      </rPr>
      <t>a</t>
    </r>
  </si>
  <si>
    <r>
      <t xml:space="preserve">Slope Angle, </t>
    </r>
    <r>
      <rPr>
        <sz val="10"/>
        <rFont val="Symbol"/>
        <family val="1"/>
        <charset val="2"/>
      </rPr>
      <t>b</t>
    </r>
    <r>
      <rPr>
        <sz val="10"/>
        <rFont val="Arial"/>
        <family val="2"/>
      </rPr>
      <t>:</t>
    </r>
  </si>
  <si>
    <t>Day of Year:</t>
  </si>
  <si>
    <r>
      <t xml:space="preserve">Year Day, </t>
    </r>
    <r>
      <rPr>
        <i/>
        <sz val="10"/>
        <rFont val="Arial"/>
        <family val="2"/>
      </rPr>
      <t>J</t>
    </r>
    <r>
      <rPr>
        <sz val="10"/>
        <rFont val="Arial"/>
        <family val="2"/>
      </rPr>
      <t>:</t>
    </r>
  </si>
  <si>
    <t>====&gt; Date =</t>
  </si>
  <si>
    <r>
      <t xml:space="preserve">Declination, </t>
    </r>
    <r>
      <rPr>
        <sz val="10"/>
        <rFont val="Symbol"/>
        <family val="1"/>
        <charset val="2"/>
      </rPr>
      <t>d</t>
    </r>
    <r>
      <rPr>
        <sz val="10"/>
        <rFont val="Arial"/>
        <family val="2"/>
      </rPr>
      <t xml:space="preserve"> =</t>
    </r>
  </si>
  <si>
    <t>degrees      =</t>
  </si>
  <si>
    <r>
      <t xml:space="preserve">Optical Air Mass, </t>
    </r>
    <r>
      <rPr>
        <i/>
        <sz val="10"/>
        <rFont val="Arial"/>
        <family val="2"/>
      </rPr>
      <t>Mopt</t>
    </r>
    <r>
      <rPr>
        <sz val="10"/>
        <rFont val="Arial"/>
        <family val="2"/>
      </rPr>
      <t>:</t>
    </r>
  </si>
  <si>
    <t>From Figure E-4</t>
  </si>
  <si>
    <t>Weather:</t>
  </si>
  <si>
    <r>
      <t xml:space="preserve">Air Temperature, </t>
    </r>
    <r>
      <rPr>
        <i/>
        <sz val="10"/>
        <rFont val="Arial"/>
        <family val="2"/>
      </rPr>
      <t>Ta</t>
    </r>
    <r>
      <rPr>
        <sz val="10"/>
        <rFont val="Arial"/>
        <family val="2"/>
      </rPr>
      <t>:</t>
    </r>
  </si>
  <si>
    <t>C</t>
  </si>
  <si>
    <r>
      <t xml:space="preserve">Relative Humidity, </t>
    </r>
    <r>
      <rPr>
        <i/>
        <sz val="10"/>
        <rFont val="Arial"/>
        <family val="2"/>
      </rPr>
      <t>Wa</t>
    </r>
    <r>
      <rPr>
        <sz val="10"/>
        <rFont val="Arial"/>
        <family val="2"/>
      </rPr>
      <t>:</t>
    </r>
  </si>
  <si>
    <r>
      <t xml:space="preserve">0 &lt;= </t>
    </r>
    <r>
      <rPr>
        <i/>
        <sz val="10"/>
        <rFont val="Arial"/>
        <family val="2"/>
      </rPr>
      <t>Wa</t>
    </r>
    <r>
      <rPr>
        <sz val="10"/>
        <rFont val="Arial"/>
        <family val="2"/>
      </rPr>
      <t xml:space="preserve"> &lt;= 1</t>
    </r>
  </si>
  <si>
    <r>
      <t xml:space="preserve">Surface Albedo, </t>
    </r>
    <r>
      <rPr>
        <i/>
        <sz val="10"/>
        <rFont val="Arial"/>
        <family val="2"/>
      </rPr>
      <t>a</t>
    </r>
    <r>
      <rPr>
        <sz val="10"/>
        <rFont val="Arial"/>
        <family val="2"/>
      </rPr>
      <t>:</t>
    </r>
  </si>
  <si>
    <r>
      <t xml:space="preserve">0 &lt;= </t>
    </r>
    <r>
      <rPr>
        <i/>
        <sz val="10"/>
        <rFont val="Arial"/>
        <family val="2"/>
      </rPr>
      <t>a</t>
    </r>
    <r>
      <rPr>
        <sz val="10"/>
        <rFont val="Arial"/>
        <family val="2"/>
      </rPr>
      <t xml:space="preserve"> &lt;= 1</t>
    </r>
  </si>
  <si>
    <r>
      <t xml:space="preserve">Dust Attenuation, </t>
    </r>
    <r>
      <rPr>
        <sz val="10"/>
        <rFont val="Symbol"/>
        <family val="1"/>
        <charset val="2"/>
      </rPr>
      <t>g</t>
    </r>
    <r>
      <rPr>
        <i/>
        <sz val="10"/>
        <rFont val="Arial"/>
        <family val="2"/>
      </rPr>
      <t>dust</t>
    </r>
    <r>
      <rPr>
        <sz val="10"/>
        <rFont val="Arial"/>
        <family val="2"/>
      </rPr>
      <t>:</t>
    </r>
  </si>
  <si>
    <r>
      <t xml:space="preserve">0 &lt;= </t>
    </r>
    <r>
      <rPr>
        <sz val="10"/>
        <rFont val="Symbol"/>
        <family val="1"/>
        <charset val="2"/>
      </rPr>
      <t>g</t>
    </r>
    <r>
      <rPr>
        <i/>
        <sz val="10"/>
        <rFont val="Arial"/>
        <family val="2"/>
      </rPr>
      <t>dust &lt;= 0.20</t>
    </r>
  </si>
  <si>
    <t>Parameters:</t>
  </si>
  <si>
    <r>
      <t xml:space="preserve">Day Angle, </t>
    </r>
    <r>
      <rPr>
        <i/>
        <sz val="10"/>
        <rFont val="Symbol"/>
        <family val="1"/>
        <charset val="2"/>
      </rPr>
      <t>G</t>
    </r>
    <r>
      <rPr>
        <sz val="10"/>
        <rFont val="Arial"/>
        <family val="2"/>
      </rPr>
      <t xml:space="preserve"> =</t>
    </r>
  </si>
  <si>
    <t>radians       =</t>
  </si>
  <si>
    <t>degrees</t>
  </si>
  <si>
    <r>
      <t>Eccentricity, (</t>
    </r>
    <r>
      <rPr>
        <i/>
        <sz val="10"/>
        <rFont val="Arial"/>
        <family val="2"/>
      </rPr>
      <t>ro</t>
    </r>
    <r>
      <rPr>
        <sz val="10"/>
        <rFont val="Arial"/>
        <family val="2"/>
      </rPr>
      <t>/</t>
    </r>
    <r>
      <rPr>
        <i/>
        <sz val="10"/>
        <rFont val="Arial"/>
        <family val="2"/>
      </rPr>
      <t>r</t>
    </r>
    <r>
      <rPr>
        <sz val="10"/>
        <rFont val="Arial"/>
        <family val="2"/>
      </rPr>
      <t>)^2 =</t>
    </r>
  </si>
  <si>
    <r>
      <t xml:space="preserve">Vapor Presssure, </t>
    </r>
    <r>
      <rPr>
        <i/>
        <sz val="10"/>
        <rFont val="Arial"/>
        <family val="2"/>
      </rPr>
      <t xml:space="preserve">ea </t>
    </r>
    <r>
      <rPr>
        <sz val="10"/>
        <rFont val="Arial"/>
        <family val="2"/>
      </rPr>
      <t>=</t>
    </r>
  </si>
  <si>
    <t>kPa</t>
  </si>
  <si>
    <r>
      <t xml:space="preserve">Dew Pt, </t>
    </r>
    <r>
      <rPr>
        <i/>
        <sz val="10"/>
        <rFont val="Arial"/>
        <family val="2"/>
      </rPr>
      <t>Td</t>
    </r>
    <r>
      <rPr>
        <sz val="10"/>
        <rFont val="Arial"/>
        <family val="2"/>
      </rPr>
      <t xml:space="preserve"> =</t>
    </r>
  </si>
  <si>
    <r>
      <t xml:space="preserve">Precipitable Water, </t>
    </r>
    <r>
      <rPr>
        <i/>
        <sz val="10"/>
        <rFont val="Arial"/>
        <family val="2"/>
      </rPr>
      <t>Wp</t>
    </r>
    <r>
      <rPr>
        <sz val="10"/>
        <rFont val="Arial"/>
        <family val="2"/>
      </rPr>
      <t xml:space="preserve"> =</t>
    </r>
  </si>
  <si>
    <r>
      <t>t</t>
    </r>
    <r>
      <rPr>
        <i/>
        <sz val="10"/>
        <rFont val="Arial"/>
        <family val="2"/>
      </rPr>
      <t>sa</t>
    </r>
    <r>
      <rPr>
        <sz val="10"/>
        <rFont val="Arial"/>
        <family val="2"/>
      </rPr>
      <t xml:space="preserve"> =</t>
    </r>
  </si>
  <si>
    <r>
      <t>t</t>
    </r>
    <r>
      <rPr>
        <i/>
        <sz val="10"/>
        <rFont val="Arial"/>
        <family val="2"/>
      </rPr>
      <t>s</t>
    </r>
    <r>
      <rPr>
        <sz val="10"/>
        <rFont val="Arial"/>
        <family val="2"/>
      </rPr>
      <t xml:space="preserve"> =</t>
    </r>
  </si>
  <si>
    <r>
      <t>t</t>
    </r>
    <r>
      <rPr>
        <sz val="10"/>
        <rFont val="Arial"/>
        <family val="2"/>
      </rPr>
      <t xml:space="preserve"> =</t>
    </r>
  </si>
  <si>
    <r>
      <t>g</t>
    </r>
    <r>
      <rPr>
        <i/>
        <sz val="10"/>
        <rFont val="Arial"/>
        <family val="2"/>
      </rPr>
      <t>s</t>
    </r>
    <r>
      <rPr>
        <sz val="10"/>
        <rFont val="Arial"/>
        <family val="2"/>
      </rPr>
      <t xml:space="preserve"> =</t>
    </r>
  </si>
  <si>
    <t>NON-POLAR</t>
  </si>
  <si>
    <t xml:space="preserve">RADIATION ON HORIZONTAL SURFACE </t>
  </si>
  <si>
    <r>
      <t xml:space="preserve">Sunrise, </t>
    </r>
    <r>
      <rPr>
        <i/>
        <sz val="10"/>
        <rFont val="Arial"/>
        <family val="2"/>
      </rPr>
      <t>Thr</t>
    </r>
    <r>
      <rPr>
        <sz val="10"/>
        <rFont val="Arial"/>
        <family val="2"/>
      </rPr>
      <t xml:space="preserve"> =</t>
    </r>
  </si>
  <si>
    <t>hr</t>
  </si>
  <si>
    <r>
      <t xml:space="preserve">Sunset, </t>
    </r>
    <r>
      <rPr>
        <i/>
        <sz val="10"/>
        <rFont val="Arial"/>
        <family val="2"/>
      </rPr>
      <t>Ths</t>
    </r>
    <r>
      <rPr>
        <sz val="10"/>
        <rFont val="Arial"/>
        <family val="2"/>
      </rPr>
      <t xml:space="preserve"> =</t>
    </r>
  </si>
  <si>
    <t>Day Length =</t>
  </si>
  <si>
    <r>
      <t xml:space="preserve">   Extraterrestrial, </t>
    </r>
    <r>
      <rPr>
        <i/>
        <sz val="10"/>
        <rFont val="Arial"/>
        <family val="2"/>
      </rPr>
      <t>K'ET</t>
    </r>
    <r>
      <rPr>
        <sz val="10"/>
        <rFont val="Arial"/>
        <family val="2"/>
      </rPr>
      <t xml:space="preserve"> =</t>
    </r>
  </si>
  <si>
    <t>MJ/m^2day</t>
  </si>
  <si>
    <t>=</t>
  </si>
  <si>
    <r>
      <t xml:space="preserve">Direct, </t>
    </r>
    <r>
      <rPr>
        <i/>
        <sz val="10"/>
        <rFont val="Arial"/>
        <family val="2"/>
      </rPr>
      <t>K'dir</t>
    </r>
    <r>
      <rPr>
        <sz val="10"/>
        <rFont val="Arial"/>
        <family val="2"/>
      </rPr>
      <t xml:space="preserve"> =</t>
    </r>
  </si>
  <si>
    <r>
      <t xml:space="preserve">Diffuse, </t>
    </r>
    <r>
      <rPr>
        <i/>
        <sz val="10"/>
        <rFont val="Arial"/>
        <family val="2"/>
      </rPr>
      <t>K'dif</t>
    </r>
    <r>
      <rPr>
        <sz val="10"/>
        <rFont val="Arial"/>
        <family val="2"/>
      </rPr>
      <t xml:space="preserve"> =</t>
    </r>
  </si>
  <si>
    <r>
      <t xml:space="preserve">Global, </t>
    </r>
    <r>
      <rPr>
        <i/>
        <sz val="10"/>
        <rFont val="Arial"/>
        <family val="2"/>
      </rPr>
      <t>K'g</t>
    </r>
    <r>
      <rPr>
        <sz val="10"/>
        <rFont val="Arial"/>
        <family val="2"/>
      </rPr>
      <t xml:space="preserve"> =</t>
    </r>
  </si>
  <si>
    <r>
      <t xml:space="preserve">Backscatter, </t>
    </r>
    <r>
      <rPr>
        <i/>
        <sz val="10"/>
        <rFont val="Arial"/>
        <family val="2"/>
      </rPr>
      <t>K'bs</t>
    </r>
    <r>
      <rPr>
        <sz val="10"/>
        <rFont val="Arial"/>
        <family val="2"/>
      </rPr>
      <t xml:space="preserve"> =</t>
    </r>
  </si>
  <si>
    <r>
      <t xml:space="preserve">CLEAR SKY, </t>
    </r>
    <r>
      <rPr>
        <i/>
        <sz val="10"/>
        <color indexed="10"/>
        <rFont val="Arial"/>
        <family val="2"/>
      </rPr>
      <t>K'cs</t>
    </r>
    <r>
      <rPr>
        <sz val="10"/>
        <color indexed="10"/>
        <rFont val="Arial"/>
        <family val="2"/>
      </rPr>
      <t xml:space="preserve"> =</t>
    </r>
  </si>
  <si>
    <t>RADIATION ON SLOPING SURFACE</t>
  </si>
  <si>
    <r>
      <t xml:space="preserve">Longitude Difference, </t>
    </r>
    <r>
      <rPr>
        <i/>
        <sz val="10"/>
        <rFont val="Symbol"/>
        <family val="1"/>
        <charset val="2"/>
      </rPr>
      <t>DW</t>
    </r>
    <r>
      <rPr>
        <sz val="10"/>
        <rFont val="Arial"/>
        <family val="2"/>
      </rPr>
      <t xml:space="preserve"> =</t>
    </r>
  </si>
  <si>
    <t>radians        =</t>
  </si>
  <si>
    <r>
      <t xml:space="preserve">Equivalent Latitude, </t>
    </r>
    <r>
      <rPr>
        <i/>
        <sz val="10"/>
        <rFont val="Symbol"/>
        <family val="1"/>
        <charset val="2"/>
      </rPr>
      <t>L</t>
    </r>
    <r>
      <rPr>
        <i/>
        <sz val="10"/>
        <rFont val="Arial"/>
        <family val="2"/>
      </rPr>
      <t>eq</t>
    </r>
    <r>
      <rPr>
        <sz val="10"/>
        <rFont val="Arial"/>
        <family val="2"/>
      </rPr>
      <t xml:space="preserve"> =</t>
    </r>
  </si>
  <si>
    <t xml:space="preserve">hr      </t>
  </si>
  <si>
    <t>POLAR</t>
  </si>
  <si>
    <t>If computed values &lt; 0 , actual value = 0.</t>
  </si>
  <si>
    <t>Eccentricity</t>
  </si>
  <si>
    <t>Slope</t>
  </si>
  <si>
    <t>x</t>
  </si>
  <si>
    <t>Thr =</t>
  </si>
  <si>
    <t>Ths =</t>
  </si>
  <si>
    <t>h</t>
  </si>
  <si>
    <t>Latitude</t>
  </si>
  <si>
    <t>Azimuth</t>
  </si>
  <si>
    <t>deg</t>
  </si>
  <si>
    <t xml:space="preserve">Date </t>
  </si>
  <si>
    <t>cos A</t>
  </si>
  <si>
    <t>Equation (2)</t>
  </si>
  <si>
    <t>Equation E-4</t>
  </si>
  <si>
    <t>Time</t>
  </si>
  <si>
    <t>(11 am is 1 hour before noon)</t>
  </si>
  <si>
    <t>wt</t>
  </si>
  <si>
    <t>rad</t>
  </si>
  <si>
    <t>cos z</t>
  </si>
  <si>
    <t>Illumination intensity</t>
  </si>
  <si>
    <t>Equiv latitude</t>
  </si>
  <si>
    <t>Tss</t>
  </si>
  <si>
    <t>Equation (1)</t>
  </si>
  <si>
    <t>b)  Radiation for horizontal area at center of valley 10 km wide with mtns 1.5 km high.</t>
  </si>
  <si>
    <t xml:space="preserve">h  </t>
  </si>
  <si>
    <t>t</t>
  </si>
  <si>
    <t>q</t>
  </si>
  <si>
    <t>L</t>
  </si>
  <si>
    <t>km</t>
  </si>
  <si>
    <t>H</t>
  </si>
  <si>
    <t>Sum</t>
  </si>
  <si>
    <t>Numerical estimate is sum * delta_t*Isc*Eo</t>
  </si>
  <si>
    <t>For the mid valley location due to the valley sides the Tsr and Tss are as solved above</t>
  </si>
  <si>
    <t>Tsr</t>
  </si>
  <si>
    <t>Delta Omega</t>
  </si>
  <si>
    <t>From Equation E-25</t>
  </si>
  <si>
    <r>
      <t xml:space="preserve">zenith angle </t>
    </r>
    <r>
      <rPr>
        <sz val="10"/>
        <rFont val="Symbol"/>
        <family val="1"/>
        <charset val="2"/>
      </rPr>
      <t>q</t>
    </r>
  </si>
  <si>
    <t xml:space="preserve">2.  The spreadsheet SOLLARRAD used to obtain values where indicated </t>
  </si>
  <si>
    <t>For a series of times between these evaluate q and A.  Then from valley geometry determine the horizon angle in the direction of A, to determine the times of sunrise and sunset adjusted for the mountains.</t>
  </si>
  <si>
    <t>Cell D39</t>
  </si>
  <si>
    <t>Longitude Difference, DW =</t>
  </si>
  <si>
    <t>Cell D38</t>
  </si>
  <si>
    <t>tadj</t>
  </si>
  <si>
    <t>Cell D20</t>
  </si>
  <si>
    <t>Solar constant Isc</t>
  </si>
  <si>
    <t>angular velocity w</t>
  </si>
  <si>
    <t>2pi/24</t>
  </si>
  <si>
    <t>Equation E-6</t>
  </si>
  <si>
    <t>This is the time on the equivalent plane</t>
  </si>
  <si>
    <t>a) Verify the equivalence of the two approaches</t>
  </si>
  <si>
    <t>(i) Equivalent slope concept</t>
  </si>
  <si>
    <t>(ii) Direct Approach</t>
  </si>
  <si>
    <t>This is between 0 and pi and time is in morning so no adjustment needed</t>
  </si>
  <si>
    <t>Illumniation angle z</t>
  </si>
  <si>
    <t>(iii) Time of local sunset</t>
  </si>
  <si>
    <t>Cell F40</t>
  </si>
  <si>
    <t>Time is in afternoon so this has to be between -pi and 0</t>
  </si>
  <si>
    <t>Corrected A</t>
  </si>
  <si>
    <t>This is numerically equivalent to 0 as we expect for the illumination angle at sunset.</t>
  </si>
  <si>
    <t>This is equivalent to the result from part (i) as we expect</t>
  </si>
  <si>
    <t>From SOLARRAD spreadsheet cells C25 and E25 the times of horizon sunrise and sunset are</t>
  </si>
  <si>
    <r>
      <t>p</t>
    </r>
    <r>
      <rPr>
        <sz val="10"/>
        <rFont val="Arial"/>
        <family val="2"/>
      </rPr>
      <t>/2-</t>
    </r>
    <r>
      <rPr>
        <sz val="10"/>
        <rFont val="Symbol"/>
        <family val="1"/>
        <charset val="2"/>
      </rPr>
      <t>q</t>
    </r>
  </si>
  <si>
    <t>Note that in evaluating the azimuth angle above for afternoon times the result is 2pi - acos() the result from equaiton 2.</t>
  </si>
  <si>
    <r>
      <t xml:space="preserve">In the figure above sun angle is up from the horizon, i.e. </t>
    </r>
    <r>
      <rPr>
        <sz val="10"/>
        <rFont val="Symbol"/>
        <family val="1"/>
        <charset val="2"/>
      </rPr>
      <t>p</t>
    </r>
    <r>
      <rPr>
        <sz val="10"/>
        <rFont val="Arial"/>
        <family val="2"/>
      </rPr>
      <t>/2-</t>
    </r>
    <r>
      <rPr>
        <sz val="10"/>
        <rFont val="Symbol"/>
        <family val="1"/>
        <charset val="2"/>
      </rPr>
      <t>q</t>
    </r>
  </si>
  <si>
    <t>Sun angle</t>
  </si>
  <si>
    <t>h-sun angle</t>
  </si>
  <si>
    <t>Solving for when horizon angle equals sun angle (solver to set h-sun angle = 0 by changing time)</t>
  </si>
  <si>
    <t>Part (ii)</t>
  </si>
  <si>
    <t>Part (iii)</t>
  </si>
  <si>
    <t>Note that the sum (at H98) was only over values of cosz for the hours the location was illuminated</t>
  </si>
  <si>
    <t>Part (iv)</t>
  </si>
  <si>
    <t xml:space="preserve">From Spreadsheet SOLARRAD </t>
  </si>
  <si>
    <t>day</t>
  </si>
  <si>
    <t>delta_t 0.5/24</t>
  </si>
  <si>
    <t>Part (v)</t>
  </si>
  <si>
    <t>(rad) SOLARRAD Cell D38</t>
  </si>
  <si>
    <t>(rad) SOLARRAD Cell D39</t>
  </si>
  <si>
    <t>Modified from SOLARRAD cell C42</t>
  </si>
  <si>
    <t>Logan</t>
  </si>
  <si>
    <t xml:space="preserve"> </t>
  </si>
  <si>
    <t xml:space="preserve"> hours before noon</t>
  </si>
  <si>
    <t>The sun first impacts the location at the center of the valley</t>
  </si>
  <si>
    <t xml:space="preserve">The sun last impacts the location at the center of the valley </t>
  </si>
  <si>
    <t>hours after noon</t>
  </si>
  <si>
    <t>ket</t>
  </si>
  <si>
    <t>pi/2</t>
  </si>
  <si>
    <t>Solving for when illumination angle is 90 by changing time</t>
  </si>
  <si>
    <t>Note that this integral can be made more precise by accounting for the partial intervals at the beginning and end.  This refining is left as an exercise.</t>
  </si>
  <si>
    <t>(This does not account for horizons and assumes Tsr and Tss as -4.787 and 2.810 respectively)</t>
  </si>
  <si>
    <t>There is a divide by 24 in the solar constant in the above equation so that it is consistent with hours used in the integration.  The result is reported in MJ/(m^2 day) because the integration is for a day</t>
  </si>
  <si>
    <t>Equation E-25 evaluated in cell E124 above is an exact result.  The solution to part (iii) in E112 is a numerical approximation that could be made more accurate using smaller time steps and accounting for the start and end times better.  The solution to part (iv) neglects the shading effect of the mountains..  For this date the integrated daily radiation is reduced about 20% due to the surrounding mountains.  The above calculations are for extraterrestrial radiation.  The spreadsheet SOLARRAD gives the ratio of clear sky to ET radiation (without mountains) as 8.9/12, so using this same ratio the estimated clear sky radiation in the valley is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</si>
</sst>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000"/>
    <numFmt numFmtId="165" formatCode="0.000"/>
    <numFmt numFmtId="166" formatCode="0.00000"/>
    <numFmt numFmtId="167" formatCode="0.000000"/>
    <numFmt numFmtId="168" formatCode="0.000_)"/>
    <numFmt numFmtId="169" formatCode="0.0_)"/>
    <numFmt numFmtId="170" formatCode="0_)"/>
    <numFmt numFmtId="171" formatCode="dd\-mmm_)"/>
    <numFmt numFmtId="172" formatCode="0.00_)"/>
    <numFmt numFmtId="173" formatCode="0.00E+00_)"/>
    <numFmt numFmtId="174" formatCode="0.0000_)"/>
  </numFmts>
  <fonts count="19" x14ac:knownFonts="1">
    <font>
      <sz val="10"/>
      <name val="Arial"/>
    </font>
    <font>
      <sz val="10"/>
      <name val="Symbol"/>
      <family val="1"/>
      <charset val="2"/>
    </font>
    <font>
      <sz val="10"/>
      <name val="Arial"/>
      <family val="2"/>
    </font>
    <font>
      <b/>
      <sz val="10"/>
      <name val="Arial"/>
      <family val="2"/>
    </font>
    <font>
      <i/>
      <sz val="10"/>
      <name val="Arial"/>
      <family val="2"/>
    </font>
    <font>
      <sz val="10"/>
      <name val="Helv"/>
    </font>
    <font>
      <sz val="8"/>
      <name val="Arial"/>
      <family val="2"/>
    </font>
    <font>
      <i/>
      <sz val="8"/>
      <name val="Arial"/>
      <family val="2"/>
    </font>
    <font>
      <sz val="12"/>
      <name val="Helv"/>
    </font>
    <font>
      <b/>
      <sz val="10"/>
      <name val="Helv"/>
    </font>
    <font>
      <i/>
      <sz val="10"/>
      <name val="Symbol"/>
      <family val="1"/>
      <charset val="2"/>
    </font>
    <font>
      <b/>
      <sz val="10"/>
      <color indexed="48"/>
      <name val="Arial"/>
      <family val="2"/>
    </font>
    <font>
      <sz val="10"/>
      <color indexed="10"/>
      <name val="Arial"/>
      <family val="2"/>
    </font>
    <font>
      <i/>
      <sz val="10"/>
      <color indexed="10"/>
      <name val="Arial"/>
      <family val="2"/>
    </font>
    <font>
      <sz val="10"/>
      <color indexed="48"/>
      <name val="Helv"/>
    </font>
    <font>
      <b/>
      <sz val="10"/>
      <color indexed="10"/>
      <name val="Helv"/>
    </font>
    <font>
      <sz val="8"/>
      <name val="Arial"/>
      <family val="2"/>
    </font>
    <font>
      <u/>
      <sz val="10"/>
      <name val="Arial"/>
      <family val="2"/>
    </font>
    <font>
      <b/>
      <sz val="8"/>
      <name val="Arial"/>
      <family val="2"/>
    </font>
  </fonts>
  <fills count="6">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rgb="FFFFFF00"/>
        <bgColor indexed="64"/>
      </patternFill>
    </fill>
  </fills>
  <borders count="21">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87">
    <xf numFmtId="0" fontId="0" fillId="0" borderId="0" xfId="0"/>
    <xf numFmtId="165" fontId="3" fillId="0" borderId="0" xfId="0" applyNumberFormat="1" applyFont="1"/>
    <xf numFmtId="0" fontId="3" fillId="0" borderId="0" xfId="0" applyFont="1"/>
    <xf numFmtId="0" fontId="0" fillId="0" borderId="1" xfId="0" applyBorder="1"/>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0" fillId="0" borderId="6" xfId="0" applyBorder="1"/>
    <xf numFmtId="0" fontId="2" fillId="0" borderId="0" xfId="0" applyFont="1"/>
    <xf numFmtId="0" fontId="3" fillId="0" borderId="0" xfId="0" quotePrefix="1" applyFont="1" applyAlignment="1">
      <alignment horizontal="center"/>
    </xf>
    <xf numFmtId="0" fontId="0" fillId="2" borderId="0" xfId="0" applyFill="1" applyBorder="1"/>
    <xf numFmtId="0" fontId="2" fillId="2" borderId="0" xfId="0" applyFont="1" applyFill="1" applyBorder="1" applyAlignment="1">
      <alignment horizontal="right"/>
    </xf>
    <xf numFmtId="0" fontId="2" fillId="0" borderId="0" xfId="0" quotePrefix="1" applyFont="1" applyAlignment="1">
      <alignment horizontal="center"/>
    </xf>
    <xf numFmtId="0" fontId="4" fillId="2" borderId="0" xfId="0" applyFont="1" applyFill="1" applyBorder="1" applyAlignment="1">
      <alignment horizontal="right"/>
    </xf>
    <xf numFmtId="0" fontId="5" fillId="0" borderId="0" xfId="0" applyFont="1"/>
    <xf numFmtId="0" fontId="2" fillId="0" borderId="7" xfId="0" applyFont="1" applyBorder="1"/>
    <xf numFmtId="0" fontId="6" fillId="0" borderId="3" xfId="0" applyFont="1" applyBorder="1"/>
    <xf numFmtId="0" fontId="6" fillId="0" borderId="3" xfId="0" quotePrefix="1" applyFont="1" applyBorder="1" applyAlignment="1">
      <alignment horizontal="center"/>
    </xf>
    <xf numFmtId="0" fontId="6" fillId="0" borderId="3" xfId="0" applyFont="1" applyBorder="1" applyAlignment="1">
      <alignment horizontal="center"/>
    </xf>
    <xf numFmtId="0" fontId="6" fillId="0" borderId="8" xfId="0" quotePrefix="1" applyFont="1" applyBorder="1" applyAlignment="1">
      <alignment horizontal="center"/>
    </xf>
    <xf numFmtId="0" fontId="5" fillId="0" borderId="4" xfId="0" applyFont="1" applyBorder="1"/>
    <xf numFmtId="0" fontId="6" fillId="0" borderId="5" xfId="0" quotePrefix="1" applyFont="1" applyBorder="1" applyAlignment="1">
      <alignment horizontal="right"/>
    </xf>
    <xf numFmtId="168" fontId="6" fillId="0" borderId="5" xfId="0" applyNumberFormat="1" applyFont="1" applyBorder="1" applyProtection="1"/>
    <xf numFmtId="169" fontId="6" fillId="0" borderId="5" xfId="0" applyNumberFormat="1" applyFont="1" applyBorder="1"/>
    <xf numFmtId="170" fontId="6" fillId="0" borderId="5" xfId="0" applyNumberFormat="1" applyFont="1" applyBorder="1" applyProtection="1"/>
    <xf numFmtId="170" fontId="6" fillId="0" borderId="6" xfId="0" applyNumberFormat="1" applyFont="1" applyBorder="1" applyProtection="1"/>
    <xf numFmtId="0" fontId="8" fillId="0" borderId="0" xfId="0" applyFont="1" applyFill="1"/>
    <xf numFmtId="0" fontId="2" fillId="0" borderId="0" xfId="0" applyFont="1" applyAlignment="1">
      <alignment horizontal="fill"/>
    </xf>
    <xf numFmtId="0" fontId="1" fillId="0" borderId="0" xfId="0" applyFont="1"/>
    <xf numFmtId="0" fontId="3" fillId="3" borderId="0" xfId="0" applyFont="1" applyFill="1" applyAlignment="1">
      <alignment horizontal="center"/>
    </xf>
    <xf numFmtId="0" fontId="3" fillId="4" borderId="0" xfId="0" applyFont="1" applyFill="1"/>
    <xf numFmtId="0" fontId="2" fillId="4" borderId="0" xfId="0" applyFont="1" applyFill="1"/>
    <xf numFmtId="0" fontId="9" fillId="0" borderId="7" xfId="0" applyFont="1" applyBorder="1" applyAlignment="1">
      <alignment horizontal="right"/>
    </xf>
    <xf numFmtId="0" fontId="2" fillId="0" borderId="3" xfId="0" applyFont="1" applyBorder="1" applyAlignment="1">
      <alignment horizontal="right"/>
    </xf>
    <xf numFmtId="0" fontId="2" fillId="3" borderId="3" xfId="0" applyFont="1" applyFill="1" applyBorder="1" applyAlignment="1" applyProtection="1">
      <alignment horizontal="left"/>
      <protection locked="0"/>
    </xf>
    <xf numFmtId="0" fontId="2" fillId="0" borderId="3" xfId="0" applyFont="1" applyBorder="1"/>
    <xf numFmtId="0" fontId="2" fillId="0" borderId="8" xfId="0" applyFont="1" applyBorder="1"/>
    <xf numFmtId="0" fontId="2" fillId="0" borderId="1" xfId="0" quotePrefix="1" applyFont="1" applyBorder="1" applyAlignment="1">
      <alignment horizontal="left"/>
    </xf>
    <xf numFmtId="0" fontId="5" fillId="0" borderId="0" xfId="0" applyFont="1" applyBorder="1"/>
    <xf numFmtId="0" fontId="2" fillId="0" borderId="0" xfId="0" quotePrefix="1" applyFont="1" applyBorder="1" applyAlignment="1">
      <alignment horizontal="right"/>
    </xf>
    <xf numFmtId="0" fontId="2" fillId="3" borderId="0" xfId="0" applyFont="1" applyFill="1" applyBorder="1" applyAlignment="1" applyProtection="1">
      <alignment horizontal="right"/>
      <protection locked="0"/>
    </xf>
    <xf numFmtId="0" fontId="2" fillId="0" borderId="0" xfId="0" quotePrefix="1" applyFont="1" applyBorder="1" applyAlignment="1">
      <alignment horizontal="left"/>
    </xf>
    <xf numFmtId="168" fontId="2" fillId="4" borderId="0" xfId="0" applyNumberFormat="1" applyFont="1" applyFill="1" applyBorder="1" applyProtection="1"/>
    <xf numFmtId="0" fontId="2" fillId="0" borderId="2" xfId="0" applyFont="1" applyBorder="1" applyAlignment="1">
      <alignment horizontal="left"/>
    </xf>
    <xf numFmtId="0" fontId="2" fillId="0" borderId="0" xfId="0" applyFont="1" applyBorder="1" applyAlignment="1">
      <alignment horizontal="right"/>
    </xf>
    <xf numFmtId="0" fontId="3" fillId="0" borderId="7" xfId="0" applyFont="1" applyBorder="1" applyAlignment="1">
      <alignment horizontal="right"/>
    </xf>
    <xf numFmtId="0" fontId="5" fillId="0" borderId="3" xfId="0" applyFont="1" applyBorder="1"/>
    <xf numFmtId="0" fontId="2" fillId="0" borderId="3" xfId="0" quotePrefix="1" applyFont="1" applyBorder="1" applyAlignment="1">
      <alignment horizontal="right"/>
    </xf>
    <xf numFmtId="170" fontId="2" fillId="3" borderId="3" xfId="0" applyNumberFormat="1" applyFont="1" applyFill="1" applyBorder="1" applyAlignment="1" applyProtection="1">
      <alignment horizontal="right"/>
      <protection locked="0"/>
    </xf>
    <xf numFmtId="171" fontId="2" fillId="4" borderId="3" xfId="0" applyNumberFormat="1" applyFont="1" applyFill="1" applyBorder="1" applyProtection="1"/>
    <xf numFmtId="0" fontId="5" fillId="0" borderId="1" xfId="0" applyFont="1" applyBorder="1"/>
    <xf numFmtId="168" fontId="2" fillId="4" borderId="0" xfId="0" applyNumberFormat="1" applyFont="1" applyFill="1" applyBorder="1" applyAlignment="1" applyProtection="1">
      <alignment horizontal="right"/>
    </xf>
    <xf numFmtId="0" fontId="2" fillId="0" borderId="2" xfId="0" quotePrefix="1" applyFont="1" applyBorder="1" applyAlignment="1">
      <alignment horizontal="left"/>
    </xf>
    <xf numFmtId="0" fontId="2" fillId="0" borderId="5" xfId="0" applyFont="1" applyBorder="1"/>
    <xf numFmtId="0" fontId="2" fillId="0" borderId="5" xfId="0" applyFont="1" applyBorder="1" applyAlignment="1">
      <alignment horizontal="right"/>
    </xf>
    <xf numFmtId="169" fontId="2" fillId="3" borderId="5" xfId="0" applyNumberFormat="1" applyFont="1" applyFill="1" applyBorder="1" applyAlignment="1" applyProtection="1">
      <alignment horizontal="right"/>
      <protection locked="0"/>
    </xf>
    <xf numFmtId="0" fontId="3" fillId="0" borderId="5" xfId="0" applyFont="1" applyBorder="1"/>
    <xf numFmtId="169" fontId="2" fillId="3" borderId="3" xfId="0" applyNumberFormat="1" applyFont="1" applyFill="1" applyBorder="1" applyAlignment="1" applyProtection="1">
      <alignment horizontal="right"/>
      <protection locked="0"/>
    </xf>
    <xf numFmtId="0" fontId="2" fillId="0" borderId="3" xfId="0" applyFont="1" applyBorder="1" applyAlignment="1">
      <alignment horizontal="left"/>
    </xf>
    <xf numFmtId="2" fontId="2" fillId="3" borderId="0" xfId="0" applyNumberFormat="1" applyFont="1" applyFill="1" applyBorder="1" applyAlignment="1" applyProtection="1">
      <alignment horizontal="right"/>
      <protection locked="0"/>
    </xf>
    <xf numFmtId="0" fontId="2" fillId="0" borderId="0" xfId="0" applyFont="1" applyBorder="1" applyAlignment="1">
      <alignment horizontal="left"/>
    </xf>
    <xf numFmtId="0" fontId="2" fillId="0" borderId="2" xfId="0" applyFont="1" applyBorder="1"/>
    <xf numFmtId="172" fontId="2" fillId="3" borderId="0" xfId="0" applyNumberFormat="1" applyFont="1" applyFill="1" applyBorder="1" applyAlignment="1" applyProtection="1">
      <alignment horizontal="right"/>
      <protection locked="0"/>
    </xf>
    <xf numFmtId="0" fontId="2" fillId="0" borderId="0" xfId="0" applyFont="1" applyBorder="1"/>
    <xf numFmtId="0" fontId="2" fillId="4" borderId="3" xfId="0" applyFont="1" applyFill="1" applyBorder="1"/>
    <xf numFmtId="0" fontId="2" fillId="0" borderId="3" xfId="0" quotePrefix="1" applyFont="1" applyBorder="1" applyAlignment="1">
      <alignment horizontal="left"/>
    </xf>
    <xf numFmtId="0" fontId="2" fillId="0" borderId="8" xfId="0" applyFont="1" applyBorder="1" applyAlignment="1">
      <alignment horizontal="left"/>
    </xf>
    <xf numFmtId="0" fontId="2" fillId="0" borderId="1" xfId="0" quotePrefix="1" applyFont="1" applyBorder="1" applyAlignment="1">
      <alignment horizontal="fill"/>
    </xf>
    <xf numFmtId="0" fontId="2" fillId="0" borderId="0" xfId="0" quotePrefix="1" applyFont="1" applyBorder="1" applyAlignment="1">
      <alignment horizontal="fill"/>
    </xf>
    <xf numFmtId="0" fontId="2" fillId="0" borderId="2" xfId="0" quotePrefix="1" applyFont="1" applyBorder="1" applyAlignment="1">
      <alignment horizontal="fill"/>
    </xf>
    <xf numFmtId="0" fontId="2" fillId="0" borderId="1" xfId="0" applyFont="1" applyBorder="1"/>
    <xf numFmtId="169" fontId="2" fillId="4" borderId="0" xfId="0" applyNumberFormat="1" applyFont="1" applyFill="1" applyBorder="1" applyProtection="1"/>
    <xf numFmtId="169" fontId="2" fillId="0" borderId="0" xfId="0" quotePrefix="1" applyNumberFormat="1" applyFont="1" applyBorder="1" applyAlignment="1" applyProtection="1">
      <alignment horizontal="left"/>
    </xf>
    <xf numFmtId="0" fontId="10" fillId="0" borderId="0" xfId="0" applyFont="1" applyBorder="1" applyAlignment="1">
      <alignment horizontal="right"/>
    </xf>
    <xf numFmtId="0" fontId="2" fillId="4" borderId="0" xfId="0" applyFont="1" applyFill="1" applyBorder="1"/>
    <xf numFmtId="0" fontId="10" fillId="0" borderId="0" xfId="0" applyFont="1" applyFill="1" applyBorder="1" applyAlignment="1">
      <alignment horizontal="right"/>
    </xf>
    <xf numFmtId="0" fontId="0" fillId="0" borderId="9" xfId="0" applyBorder="1"/>
    <xf numFmtId="0" fontId="0" fillId="0" borderId="10" xfId="0" applyBorder="1"/>
    <xf numFmtId="0" fontId="11" fillId="0" borderId="10" xfId="0" applyFont="1" applyBorder="1" applyAlignment="1">
      <alignment horizontal="center"/>
    </xf>
    <xf numFmtId="0" fontId="0" fillId="0" borderId="11" xfId="0" applyBorder="1"/>
    <xf numFmtId="0" fontId="2" fillId="0" borderId="12" xfId="0" applyFont="1" applyBorder="1" applyAlignment="1">
      <alignment horizontal="fill"/>
    </xf>
    <xf numFmtId="0" fontId="2" fillId="0" borderId="3" xfId="0" applyFont="1" applyBorder="1" applyAlignment="1">
      <alignment horizontal="fill"/>
    </xf>
    <xf numFmtId="0" fontId="11" fillId="0" borderId="3" xfId="0" quotePrefix="1" applyFont="1" applyBorder="1" applyAlignment="1">
      <alignment horizontal="left"/>
    </xf>
    <xf numFmtId="0" fontId="2" fillId="0" borderId="3" xfId="0" applyFont="1" applyBorder="1" applyAlignment="1"/>
    <xf numFmtId="0" fontId="2" fillId="0" borderId="13" xfId="0" applyFont="1" applyBorder="1" applyAlignment="1">
      <alignment horizontal="fill"/>
    </xf>
    <xf numFmtId="0" fontId="5" fillId="0" borderId="0" xfId="0" quotePrefix="1" applyFont="1" applyAlignment="1">
      <alignment horizontal="fill"/>
    </xf>
    <xf numFmtId="0" fontId="2" fillId="0" borderId="14" xfId="0" applyFont="1" applyBorder="1" applyAlignment="1">
      <alignment horizontal="right"/>
    </xf>
    <xf numFmtId="168" fontId="12" fillId="4" borderId="0" xfId="0" applyNumberFormat="1" applyFont="1" applyFill="1" applyBorder="1" applyAlignment="1" applyProtection="1">
      <alignment horizontal="center"/>
    </xf>
    <xf numFmtId="168" fontId="2" fillId="0" borderId="0" xfId="0" applyNumberFormat="1" applyFont="1" applyBorder="1" applyAlignment="1" applyProtection="1">
      <alignment horizontal="right"/>
    </xf>
    <xf numFmtId="0" fontId="2" fillId="0" borderId="15" xfId="0" quotePrefix="1" applyFont="1" applyBorder="1" applyAlignment="1">
      <alignment horizontal="left"/>
    </xf>
    <xf numFmtId="0" fontId="5" fillId="0" borderId="14" xfId="0" applyFont="1" applyBorder="1"/>
    <xf numFmtId="0" fontId="0" fillId="0" borderId="15" xfId="0" applyBorder="1"/>
    <xf numFmtId="0" fontId="2" fillId="0" borderId="14" xfId="0" applyFont="1" applyBorder="1" applyAlignment="1">
      <alignment horizontal="left"/>
    </xf>
    <xf numFmtId="173" fontId="2" fillId="0" borderId="0" xfId="0" quotePrefix="1" applyNumberFormat="1" applyFont="1" applyBorder="1" applyAlignment="1" applyProtection="1">
      <alignment horizontal="center"/>
    </xf>
    <xf numFmtId="172" fontId="2" fillId="4" borderId="0" xfId="0" applyNumberFormat="1" applyFont="1" applyFill="1" applyBorder="1"/>
    <xf numFmtId="0" fontId="2" fillId="0" borderId="15" xfId="0" quotePrefix="1" applyFont="1" applyBorder="1" applyAlignment="1">
      <alignment horizontal="center"/>
    </xf>
    <xf numFmtId="172" fontId="5" fillId="0" borderId="0" xfId="0" applyNumberFormat="1" applyFont="1"/>
    <xf numFmtId="0" fontId="12" fillId="0" borderId="16" xfId="0" applyFont="1" applyFill="1" applyBorder="1" applyAlignment="1">
      <alignment horizontal="left"/>
    </xf>
    <xf numFmtId="0" fontId="12" fillId="0" borderId="5" xfId="0" applyFont="1" applyFill="1" applyBorder="1" applyAlignment="1">
      <alignment horizontal="right"/>
    </xf>
    <xf numFmtId="0" fontId="12" fillId="4" borderId="5" xfId="0" applyFont="1" applyFill="1" applyBorder="1"/>
    <xf numFmtId="0" fontId="12" fillId="0" borderId="5" xfId="0" quotePrefix="1" applyFont="1" applyFill="1" applyBorder="1" applyAlignment="1">
      <alignment horizontal="left"/>
    </xf>
    <xf numFmtId="173" fontId="12" fillId="0" borderId="5" xfId="0" quotePrefix="1" applyNumberFormat="1" applyFont="1" applyFill="1" applyBorder="1" applyAlignment="1" applyProtection="1">
      <alignment horizontal="center"/>
    </xf>
    <xf numFmtId="172" fontId="12" fillId="4" borderId="5" xfId="0" applyNumberFormat="1" applyFont="1" applyFill="1" applyBorder="1"/>
    <xf numFmtId="0" fontId="12" fillId="0" borderId="17" xfId="0" quotePrefix="1" applyFont="1" applyFill="1" applyBorder="1" applyAlignment="1">
      <alignment horizontal="center"/>
    </xf>
    <xf numFmtId="0" fontId="14" fillId="0" borderId="3" xfId="0" applyFont="1" applyBorder="1"/>
    <xf numFmtId="0" fontId="11" fillId="0" borderId="3" xfId="0" quotePrefix="1" applyFont="1" applyBorder="1" applyAlignment="1">
      <alignment horizontal="center"/>
    </xf>
    <xf numFmtId="0" fontId="0" fillId="0" borderId="14" xfId="0" applyBorder="1"/>
    <xf numFmtId="0" fontId="15" fillId="0" borderId="0" xfId="0" applyFont="1" applyAlignment="1">
      <alignment horizontal="center"/>
    </xf>
    <xf numFmtId="0" fontId="2" fillId="0" borderId="14" xfId="0" quotePrefix="1" applyFont="1" applyBorder="1" applyAlignment="1">
      <alignment horizontal="right"/>
    </xf>
    <xf numFmtId="0" fontId="2" fillId="0" borderId="15" xfId="0" applyFont="1" applyBorder="1" applyAlignment="1">
      <alignment horizontal="left"/>
    </xf>
    <xf numFmtId="0" fontId="2" fillId="0" borderId="0" xfId="0" quotePrefix="1" applyFont="1" applyAlignment="1">
      <alignment horizontal="left"/>
    </xf>
    <xf numFmtId="0" fontId="0" fillId="0" borderId="16" xfId="0" applyBorder="1"/>
    <xf numFmtId="0" fontId="2" fillId="0" borderId="5" xfId="0" quotePrefix="1" applyFont="1" applyBorder="1" applyAlignment="1">
      <alignment horizontal="right"/>
    </xf>
    <xf numFmtId="168" fontId="12" fillId="4" borderId="5" xfId="0" applyNumberFormat="1" applyFont="1" applyFill="1" applyBorder="1" applyAlignment="1" applyProtection="1">
      <alignment horizontal="center"/>
    </xf>
    <xf numFmtId="0" fontId="2" fillId="0" borderId="5" xfId="0" quotePrefix="1" applyFont="1" applyBorder="1" applyAlignment="1">
      <alignment horizontal="left"/>
    </xf>
    <xf numFmtId="0" fontId="0" fillId="0" borderId="17" xfId="0" applyBorder="1"/>
    <xf numFmtId="0" fontId="2" fillId="0" borderId="0" xfId="0" applyFont="1" applyAlignment="1">
      <alignment horizontal="left"/>
    </xf>
    <xf numFmtId="0" fontId="12" fillId="0" borderId="18" xfId="0" applyFont="1" applyBorder="1" applyAlignment="1">
      <alignment horizontal="left"/>
    </xf>
    <xf numFmtId="0" fontId="12" fillId="0" borderId="19" xfId="0" applyFont="1" applyBorder="1" applyAlignment="1">
      <alignment horizontal="right"/>
    </xf>
    <xf numFmtId="0" fontId="12" fillId="4" borderId="19" xfId="0" applyFont="1" applyFill="1" applyBorder="1"/>
    <xf numFmtId="0" fontId="12" fillId="0" borderId="19" xfId="0" quotePrefix="1" applyFont="1" applyBorder="1" applyAlignment="1">
      <alignment horizontal="left"/>
    </xf>
    <xf numFmtId="173" fontId="12" fillId="0" borderId="19" xfId="0" quotePrefix="1" applyNumberFormat="1" applyFont="1" applyBorder="1" applyAlignment="1" applyProtection="1">
      <alignment horizontal="center"/>
    </xf>
    <xf numFmtId="172" fontId="12" fillId="4" borderId="19" xfId="0" applyNumberFormat="1" applyFont="1" applyFill="1" applyBorder="1"/>
    <xf numFmtId="0" fontId="12" fillId="0" borderId="20" xfId="0" quotePrefix="1" applyFont="1" applyBorder="1" applyAlignment="1">
      <alignment horizontal="center"/>
    </xf>
    <xf numFmtId="0" fontId="5" fillId="0" borderId="9" xfId="0" quotePrefix="1" applyFont="1" applyBorder="1" applyAlignment="1">
      <alignment horizontal="fill"/>
    </xf>
    <xf numFmtId="0" fontId="5" fillId="0" borderId="10" xfId="0" quotePrefix="1" applyFont="1" applyBorder="1" applyAlignment="1">
      <alignment horizontal="fill"/>
    </xf>
    <xf numFmtId="0" fontId="5" fillId="0" borderId="11" xfId="0" quotePrefix="1" applyFont="1" applyBorder="1" applyAlignment="1">
      <alignment horizontal="fill"/>
    </xf>
    <xf numFmtId="0" fontId="2" fillId="0" borderId="3" xfId="0" quotePrefix="1" applyFont="1" applyBorder="1" applyAlignment="1">
      <alignment horizontal="fill"/>
    </xf>
    <xf numFmtId="0" fontId="2" fillId="0" borderId="15" xfId="0" applyFont="1" applyBorder="1"/>
    <xf numFmtId="0" fontId="2" fillId="0" borderId="14" xfId="0" applyFont="1" applyBorder="1"/>
    <xf numFmtId="0" fontId="12" fillId="0" borderId="0" xfId="0" quotePrefix="1" applyFont="1" applyBorder="1" applyAlignment="1">
      <alignment horizontal="right"/>
    </xf>
    <xf numFmtId="0" fontId="12" fillId="4" borderId="0" xfId="0" applyFont="1" applyFill="1" applyBorder="1"/>
    <xf numFmtId="0" fontId="12" fillId="0" borderId="0" xfId="0" applyFont="1" applyBorder="1"/>
    <xf numFmtId="0" fontId="12" fillId="0" borderId="16" xfId="0" applyFont="1" applyBorder="1" applyAlignment="1">
      <alignment horizontal="left"/>
    </xf>
    <xf numFmtId="0" fontId="12" fillId="0" borderId="5" xfId="0" applyFont="1" applyBorder="1" applyAlignment="1">
      <alignment horizontal="right"/>
    </xf>
    <xf numFmtId="0" fontId="12" fillId="0" borderId="5" xfId="0" quotePrefix="1" applyFont="1" applyBorder="1" applyAlignment="1">
      <alignment horizontal="left"/>
    </xf>
    <xf numFmtId="173" fontId="12" fillId="0" borderId="5" xfId="0" quotePrefix="1" applyNumberFormat="1" applyFont="1" applyBorder="1" applyAlignment="1" applyProtection="1">
      <alignment horizontal="center"/>
    </xf>
    <xf numFmtId="0" fontId="12" fillId="0" borderId="17" xfId="0" quotePrefix="1" applyFont="1" applyBorder="1" applyAlignment="1">
      <alignment horizontal="center"/>
    </xf>
    <xf numFmtId="0" fontId="2" fillId="0" borderId="14" xfId="0" applyFont="1" applyBorder="1" applyAlignment="1">
      <alignment horizontal="fill"/>
    </xf>
    <xf numFmtId="0" fontId="2" fillId="0" borderId="0" xfId="0" applyFont="1" applyBorder="1" applyAlignment="1">
      <alignment horizontal="fill"/>
    </xf>
    <xf numFmtId="0" fontId="11" fillId="0" borderId="0" xfId="0" quotePrefix="1" applyFont="1" applyBorder="1" applyAlignment="1">
      <alignment horizontal="center"/>
    </xf>
    <xf numFmtId="0" fontId="2" fillId="0" borderId="15" xfId="0" applyFont="1" applyBorder="1" applyAlignment="1">
      <alignment horizontal="fill"/>
    </xf>
    <xf numFmtId="0" fontId="3" fillId="0" borderId="0" xfId="0" applyFont="1" applyBorder="1"/>
    <xf numFmtId="0" fontId="1" fillId="0" borderId="0" xfId="0" applyFont="1" applyAlignment="1">
      <alignment horizontal="right"/>
    </xf>
    <xf numFmtId="0" fontId="17" fillId="0" borderId="0" xfId="0" applyFont="1"/>
    <xf numFmtId="0" fontId="2" fillId="0" borderId="0" xfId="0" applyFont="1" applyAlignment="1">
      <alignment horizontal="right"/>
    </xf>
    <xf numFmtId="169" fontId="2" fillId="0" borderId="0" xfId="0" applyNumberFormat="1" applyFont="1"/>
    <xf numFmtId="16" fontId="2" fillId="0" borderId="0" xfId="0" applyNumberFormat="1" applyFont="1"/>
    <xf numFmtId="0" fontId="17" fillId="0" borderId="0" xfId="0" applyFont="1" applyAlignment="1">
      <alignment horizontal="left"/>
    </xf>
    <xf numFmtId="0" fontId="3" fillId="0" borderId="0" xfId="0" applyFont="1" applyAlignment="1">
      <alignment horizontal="right" wrapText="1"/>
    </xf>
    <xf numFmtId="169" fontId="3" fillId="0" borderId="0" xfId="0" applyNumberFormat="1" applyFont="1"/>
    <xf numFmtId="0" fontId="3" fillId="0" borderId="0" xfId="0" applyFont="1" applyAlignment="1">
      <alignment horizontal="left"/>
    </xf>
    <xf numFmtId="0" fontId="3" fillId="0" borderId="0" xfId="0" applyFont="1" applyAlignment="1">
      <alignment horizontal="right"/>
    </xf>
    <xf numFmtId="0" fontId="2" fillId="0" borderId="0" xfId="0" applyFont="1" applyAlignment="1">
      <alignment vertical="top" wrapText="1"/>
    </xf>
    <xf numFmtId="169" fontId="3" fillId="0" borderId="0" xfId="0" applyNumberFormat="1" applyFont="1" applyAlignment="1">
      <alignment horizontal="left"/>
    </xf>
    <xf numFmtId="168" fontId="2" fillId="0" borderId="0" xfId="0" applyNumberFormat="1" applyFont="1" applyAlignment="1">
      <alignment horizontal="left"/>
    </xf>
    <xf numFmtId="0" fontId="2" fillId="0" borderId="0" xfId="0" applyNumberFormat="1" applyFont="1" applyAlignment="1"/>
    <xf numFmtId="164" fontId="2" fillId="0" borderId="0" xfId="0" applyNumberFormat="1" applyFont="1"/>
    <xf numFmtId="165" fontId="2" fillId="0" borderId="0" xfId="0" applyNumberFormat="1" applyFont="1"/>
    <xf numFmtId="2" fontId="2" fillId="0" borderId="0" xfId="0" applyNumberFormat="1" applyFont="1"/>
    <xf numFmtId="168" fontId="2" fillId="0" borderId="0" xfId="0" applyNumberFormat="1" applyFont="1"/>
    <xf numFmtId="0" fontId="6" fillId="0" borderId="0" xfId="0" applyFont="1" applyBorder="1" applyAlignment="1">
      <alignment horizontal="center"/>
    </xf>
    <xf numFmtId="174" fontId="2" fillId="0" borderId="0" xfId="0" applyNumberFormat="1" applyFont="1"/>
    <xf numFmtId="0" fontId="2" fillId="0" borderId="0" xfId="0" applyFont="1" applyAlignment="1">
      <alignment horizontal="right" vertical="top"/>
    </xf>
    <xf numFmtId="0" fontId="2" fillId="0" borderId="0" xfId="0" applyFont="1" applyAlignment="1">
      <alignment vertical="top"/>
    </xf>
    <xf numFmtId="0" fontId="18" fillId="0" borderId="0" xfId="0" applyFont="1" applyBorder="1" applyAlignment="1">
      <alignment horizontal="center"/>
    </xf>
    <xf numFmtId="164" fontId="3" fillId="0" borderId="0" xfId="0" applyNumberFormat="1" applyFont="1"/>
    <xf numFmtId="0" fontId="3" fillId="0" borderId="0" xfId="0" applyFont="1" applyAlignment="1">
      <alignment horizontal="right" vertical="top"/>
    </xf>
    <xf numFmtId="0" fontId="3" fillId="0" borderId="0" xfId="0" applyFont="1" applyAlignment="1">
      <alignment vertical="top"/>
    </xf>
    <xf numFmtId="168" fontId="3" fillId="0" borderId="0" xfId="0" applyNumberFormat="1" applyFont="1"/>
    <xf numFmtId="164" fontId="3" fillId="0" borderId="0" xfId="0" applyNumberFormat="1" applyFont="1" applyAlignment="1">
      <alignment vertical="top"/>
    </xf>
    <xf numFmtId="164" fontId="2" fillId="0" borderId="0" xfId="0" applyNumberFormat="1" applyFont="1" applyAlignment="1">
      <alignment vertical="top"/>
    </xf>
    <xf numFmtId="0" fontId="10" fillId="0" borderId="0" xfId="0" applyFont="1"/>
    <xf numFmtId="167" fontId="2" fillId="0" borderId="0" xfId="0" applyNumberFormat="1" applyFont="1" applyAlignment="1">
      <alignment horizontal="right"/>
    </xf>
    <xf numFmtId="0" fontId="3" fillId="0" borderId="0" xfId="0" applyFont="1" applyAlignment="1"/>
    <xf numFmtId="166" fontId="2" fillId="0" borderId="0" xfId="0" applyNumberFormat="1" applyFont="1" applyAlignment="1">
      <alignment horizontal="right"/>
    </xf>
    <xf numFmtId="164" fontId="2" fillId="0" borderId="0" xfId="0" applyNumberFormat="1" applyFont="1" applyAlignment="1">
      <alignment horizontal="right"/>
    </xf>
    <xf numFmtId="165" fontId="3" fillId="4" borderId="0" xfId="0" applyNumberFormat="1" applyFont="1" applyFill="1" applyBorder="1"/>
    <xf numFmtId="2" fontId="3" fillId="0" borderId="0" xfId="0" applyNumberFormat="1" applyFont="1" applyAlignment="1">
      <alignment horizontal="right"/>
    </xf>
    <xf numFmtId="2" fontId="2" fillId="0" borderId="0" xfId="0" applyNumberFormat="1" applyFont="1" applyAlignment="1">
      <alignment vertical="top"/>
    </xf>
    <xf numFmtId="0" fontId="2" fillId="5" borderId="0" xfId="0" applyFont="1" applyFill="1" applyAlignment="1">
      <alignment horizontal="right"/>
    </xf>
    <xf numFmtId="0" fontId="2" fillId="5" borderId="0" xfId="0" applyFont="1" applyFill="1"/>
    <xf numFmtId="0" fontId="2" fillId="5" borderId="0" xfId="0" applyFont="1" applyFill="1" applyAlignment="1">
      <alignment horizontal="left"/>
    </xf>
    <xf numFmtId="0" fontId="2" fillId="0" borderId="0" xfId="0" applyFont="1" applyAlignment="1">
      <alignment vertical="top" wrapText="1"/>
    </xf>
    <xf numFmtId="2"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248465106676526E-2"/>
          <c:y val="9.2465908045784806E-2"/>
          <c:w val="0.86241752047753328"/>
          <c:h val="0.81849451936824325"/>
        </c:manualLayout>
      </c:layout>
      <c:scatterChart>
        <c:scatterStyle val="lineMarker"/>
        <c:varyColors val="0"/>
        <c:ser>
          <c:idx val="0"/>
          <c:order val="0"/>
          <c:tx>
            <c:v>Horizon angle</c:v>
          </c:tx>
          <c:spPr>
            <a:ln w="12700">
              <a:solidFill>
                <a:srgbClr val="000080"/>
              </a:solidFill>
              <a:prstDash val="solid"/>
            </a:ln>
          </c:spPr>
          <c:marker>
            <c:symbol val="diamond"/>
            <c:size val="5"/>
            <c:spPr>
              <a:solidFill>
                <a:srgbClr val="000080"/>
              </a:solidFill>
              <a:ln>
                <a:solidFill>
                  <a:srgbClr val="000080"/>
                </a:solidFill>
                <a:prstDash val="solid"/>
              </a:ln>
            </c:spPr>
          </c:marker>
          <c:xVal>
            <c:numRef>
              <c:f>DirectApproach!$A$75:$A$97</c:f>
              <c:numCache>
                <c:formatCode>General</c:formatCode>
                <c:ptCount val="23"/>
                <c:pt idx="0">
                  <c:v>-5.5</c:v>
                </c:pt>
                <c:pt idx="1">
                  <c:v>-5</c:v>
                </c:pt>
                <c:pt idx="2">
                  <c:v>-4.5</c:v>
                </c:pt>
                <c:pt idx="3">
                  <c:v>-4</c:v>
                </c:pt>
                <c:pt idx="4">
                  <c:v>-3.5</c:v>
                </c:pt>
                <c:pt idx="5">
                  <c:v>-3</c:v>
                </c:pt>
                <c:pt idx="6">
                  <c:v>-2.5</c:v>
                </c:pt>
                <c:pt idx="7">
                  <c:v>-2</c:v>
                </c:pt>
                <c:pt idx="8">
                  <c:v>-1.5</c:v>
                </c:pt>
                <c:pt idx="9">
                  <c:v>-1</c:v>
                </c:pt>
                <c:pt idx="10">
                  <c:v>-0.5</c:v>
                </c:pt>
                <c:pt idx="11">
                  <c:v>0</c:v>
                </c:pt>
                <c:pt idx="12">
                  <c:v>0.5</c:v>
                </c:pt>
                <c:pt idx="13">
                  <c:v>1</c:v>
                </c:pt>
                <c:pt idx="14">
                  <c:v>1.5</c:v>
                </c:pt>
                <c:pt idx="15">
                  <c:v>2</c:v>
                </c:pt>
                <c:pt idx="16">
                  <c:v>2.5</c:v>
                </c:pt>
                <c:pt idx="17">
                  <c:v>3</c:v>
                </c:pt>
                <c:pt idx="18">
                  <c:v>3.5</c:v>
                </c:pt>
                <c:pt idx="19">
                  <c:v>4</c:v>
                </c:pt>
                <c:pt idx="20">
                  <c:v>4.5</c:v>
                </c:pt>
                <c:pt idx="21">
                  <c:v>5</c:v>
                </c:pt>
                <c:pt idx="22">
                  <c:v>5.5</c:v>
                </c:pt>
              </c:numCache>
            </c:numRef>
          </c:xVal>
          <c:yVal>
            <c:numRef>
              <c:f>DirectApproach!$F$75:$F$97</c:f>
              <c:numCache>
                <c:formatCode>General</c:formatCode>
                <c:ptCount val="23"/>
                <c:pt idx="0">
                  <c:v>0.2751246481864385</c:v>
                </c:pt>
                <c:pt idx="1">
                  <c:v>0.26642525954415658</c:v>
                </c:pt>
                <c:pt idx="2">
                  <c:v>0.25546594621543089</c:v>
                </c:pt>
                <c:pt idx="3">
                  <c:v>0.24188402777476059</c:v>
                </c:pt>
                <c:pt idx="4">
                  <c:v>0.22524380324095214</c:v>
                </c:pt>
                <c:pt idx="5">
                  <c:v>0.20506582248884822</c:v>
                </c:pt>
                <c:pt idx="6">
                  <c:v>0.1808856247401544</c:v>
                </c:pt>
                <c:pt idx="7">
                  <c:v>0.1523546193434086</c:v>
                </c:pt>
                <c:pt idx="8">
                  <c:v>0.1193856679514366</c:v>
                </c:pt>
                <c:pt idx="9">
                  <c:v>8.2319316591418973E-2</c:v>
                </c:pt>
                <c:pt idx="10">
                  <c:v>4.2046750804208784E-2</c:v>
                </c:pt>
                <c:pt idx="11">
                  <c:v>1.83772268236293E-17</c:v>
                </c:pt>
                <c:pt idx="12">
                  <c:v>4.2046750804208749E-2</c:v>
                </c:pt>
                <c:pt idx="13">
                  <c:v>8.2319316591418959E-2</c:v>
                </c:pt>
                <c:pt idx="14">
                  <c:v>0.11938566795143656</c:v>
                </c:pt>
                <c:pt idx="15">
                  <c:v>0.15235461934340855</c:v>
                </c:pt>
                <c:pt idx="16">
                  <c:v>0.18088562474015435</c:v>
                </c:pt>
                <c:pt idx="17">
                  <c:v>0.20506582248884819</c:v>
                </c:pt>
                <c:pt idx="18">
                  <c:v>0.22524380324095211</c:v>
                </c:pt>
                <c:pt idx="19">
                  <c:v>0.24188402777476053</c:v>
                </c:pt>
                <c:pt idx="20">
                  <c:v>0.25546594621543089</c:v>
                </c:pt>
                <c:pt idx="21">
                  <c:v>0.26642525954415647</c:v>
                </c:pt>
                <c:pt idx="22">
                  <c:v>0.27512464818643845</c:v>
                </c:pt>
              </c:numCache>
            </c:numRef>
          </c:yVal>
          <c:smooth val="0"/>
        </c:ser>
        <c:ser>
          <c:idx val="1"/>
          <c:order val="1"/>
          <c:tx>
            <c:v>Sun angle</c:v>
          </c:tx>
          <c:spPr>
            <a:ln w="12700">
              <a:solidFill>
                <a:srgbClr val="FF00FF"/>
              </a:solidFill>
              <a:prstDash val="solid"/>
            </a:ln>
          </c:spPr>
          <c:marker>
            <c:symbol val="square"/>
            <c:size val="5"/>
            <c:spPr>
              <a:solidFill>
                <a:srgbClr val="FF00FF"/>
              </a:solidFill>
              <a:ln>
                <a:solidFill>
                  <a:srgbClr val="FF00FF"/>
                </a:solidFill>
                <a:prstDash val="solid"/>
              </a:ln>
            </c:spPr>
          </c:marker>
          <c:xVal>
            <c:numRef>
              <c:f>DirectApproach!$A$75:$A$97</c:f>
              <c:numCache>
                <c:formatCode>General</c:formatCode>
                <c:ptCount val="23"/>
                <c:pt idx="0">
                  <c:v>-5.5</c:v>
                </c:pt>
                <c:pt idx="1">
                  <c:v>-5</c:v>
                </c:pt>
                <c:pt idx="2">
                  <c:v>-4.5</c:v>
                </c:pt>
                <c:pt idx="3">
                  <c:v>-4</c:v>
                </c:pt>
                <c:pt idx="4">
                  <c:v>-3.5</c:v>
                </c:pt>
                <c:pt idx="5">
                  <c:v>-3</c:v>
                </c:pt>
                <c:pt idx="6">
                  <c:v>-2.5</c:v>
                </c:pt>
                <c:pt idx="7">
                  <c:v>-2</c:v>
                </c:pt>
                <c:pt idx="8">
                  <c:v>-1.5</c:v>
                </c:pt>
                <c:pt idx="9">
                  <c:v>-1</c:v>
                </c:pt>
                <c:pt idx="10">
                  <c:v>-0.5</c:v>
                </c:pt>
                <c:pt idx="11">
                  <c:v>0</c:v>
                </c:pt>
                <c:pt idx="12">
                  <c:v>0.5</c:v>
                </c:pt>
                <c:pt idx="13">
                  <c:v>1</c:v>
                </c:pt>
                <c:pt idx="14">
                  <c:v>1.5</c:v>
                </c:pt>
                <c:pt idx="15">
                  <c:v>2</c:v>
                </c:pt>
                <c:pt idx="16">
                  <c:v>2.5</c:v>
                </c:pt>
                <c:pt idx="17">
                  <c:v>3</c:v>
                </c:pt>
                <c:pt idx="18">
                  <c:v>3.5</c:v>
                </c:pt>
                <c:pt idx="19">
                  <c:v>4</c:v>
                </c:pt>
                <c:pt idx="20">
                  <c:v>4.5</c:v>
                </c:pt>
                <c:pt idx="21">
                  <c:v>5</c:v>
                </c:pt>
                <c:pt idx="22">
                  <c:v>5.5</c:v>
                </c:pt>
              </c:numCache>
            </c:numRef>
          </c:xVal>
          <c:yVal>
            <c:numRef>
              <c:f>DirectApproach!$G$75:$G$97</c:f>
              <c:numCache>
                <c:formatCode>General</c:formatCode>
                <c:ptCount val="23"/>
                <c:pt idx="0">
                  <c:v>-0.12944047593081409</c:v>
                </c:pt>
                <c:pt idx="1">
                  <c:v>-3.7965220550434831E-2</c:v>
                </c:pt>
                <c:pt idx="2">
                  <c:v>5.0042572814206654E-2</c:v>
                </c:pt>
                <c:pt idx="3">
                  <c:v>0.13374712016691115</c:v>
                </c:pt>
                <c:pt idx="4">
                  <c:v>0.21218792762874505</c:v>
                </c:pt>
                <c:pt idx="5">
                  <c:v>0.28426446930173954</c:v>
                </c:pt>
                <c:pt idx="6">
                  <c:v>0.34873613957900562</c:v>
                </c:pt>
                <c:pt idx="7">
                  <c:v>0.40424796835918531</c:v>
                </c:pt>
                <c:pt idx="8">
                  <c:v>0.44939402059369016</c:v>
                </c:pt>
                <c:pt idx="9">
                  <c:v>0.48282629514277042</c:v>
                </c:pt>
                <c:pt idx="10">
                  <c:v>0.50340368740499697</c:v>
                </c:pt>
                <c:pt idx="11">
                  <c:v>0.51035412209941455</c:v>
                </c:pt>
                <c:pt idx="12">
                  <c:v>0.50340368740499697</c:v>
                </c:pt>
                <c:pt idx="13">
                  <c:v>0.48282629514277042</c:v>
                </c:pt>
                <c:pt idx="14">
                  <c:v>0.44939402059369016</c:v>
                </c:pt>
                <c:pt idx="15">
                  <c:v>0.40424796835918531</c:v>
                </c:pt>
                <c:pt idx="16">
                  <c:v>0.34873613957900562</c:v>
                </c:pt>
                <c:pt idx="17">
                  <c:v>0.28426446930173954</c:v>
                </c:pt>
                <c:pt idx="18">
                  <c:v>0.21218792762874505</c:v>
                </c:pt>
                <c:pt idx="19">
                  <c:v>0.13374712016691115</c:v>
                </c:pt>
                <c:pt idx="20">
                  <c:v>5.0042572814206654E-2</c:v>
                </c:pt>
                <c:pt idx="21">
                  <c:v>-3.7965220550434831E-2</c:v>
                </c:pt>
                <c:pt idx="22">
                  <c:v>-0.12944047593081409</c:v>
                </c:pt>
              </c:numCache>
            </c:numRef>
          </c:yVal>
          <c:smooth val="0"/>
        </c:ser>
        <c:dLbls>
          <c:showLegendKey val="0"/>
          <c:showVal val="0"/>
          <c:showCatName val="0"/>
          <c:showSerName val="0"/>
          <c:showPercent val="0"/>
          <c:showBubbleSize val="0"/>
        </c:dLbls>
        <c:axId val="291662872"/>
        <c:axId val="291663264"/>
      </c:scatterChart>
      <c:valAx>
        <c:axId val="291662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291663264"/>
        <c:crosses val="autoZero"/>
        <c:crossBetween val="midCat"/>
      </c:valAx>
      <c:valAx>
        <c:axId val="29166326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291662872"/>
        <c:crosses val="autoZero"/>
        <c:crossBetween val="midCat"/>
      </c:valAx>
      <c:spPr>
        <a:solidFill>
          <a:srgbClr val="C0C0C0"/>
        </a:solidFill>
        <a:ln w="12700">
          <a:solidFill>
            <a:srgbClr val="808080"/>
          </a:solidFill>
          <a:prstDash val="solid"/>
        </a:ln>
      </c:spPr>
    </c:plotArea>
    <c:legend>
      <c:legendPos val="r"/>
      <c:layout>
        <c:manualLayout>
          <c:xMode val="edge"/>
          <c:yMode val="edge"/>
          <c:x val="0.62080638633596752"/>
          <c:y val="6.1643938697189871E-2"/>
          <c:w val="0.28859107689131464"/>
          <c:h val="0.2294524384839845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469914124623348E-2"/>
          <c:y val="7.5342591741009837E-2"/>
          <c:w val="0.88255178165599713"/>
          <c:h val="0.79452187654155837"/>
        </c:manualLayout>
      </c:layout>
      <c:scatterChart>
        <c:scatterStyle val="lineMarker"/>
        <c:varyColors val="0"/>
        <c:ser>
          <c:idx val="0"/>
          <c:order val="0"/>
          <c:tx>
            <c:v>Zenith angle</c:v>
          </c:tx>
          <c:spPr>
            <a:ln w="12700">
              <a:solidFill>
                <a:srgbClr val="000080"/>
              </a:solidFill>
              <a:prstDash val="solid"/>
            </a:ln>
          </c:spPr>
          <c:marker>
            <c:symbol val="diamond"/>
            <c:size val="5"/>
            <c:spPr>
              <a:solidFill>
                <a:srgbClr val="000080"/>
              </a:solidFill>
              <a:ln>
                <a:solidFill>
                  <a:srgbClr val="000080"/>
                </a:solidFill>
                <a:prstDash val="solid"/>
              </a:ln>
            </c:spPr>
          </c:marker>
          <c:xVal>
            <c:numRef>
              <c:f>DirectApproach!$A$75:$A$97</c:f>
              <c:numCache>
                <c:formatCode>General</c:formatCode>
                <c:ptCount val="23"/>
                <c:pt idx="0">
                  <c:v>-5.5</c:v>
                </c:pt>
                <c:pt idx="1">
                  <c:v>-5</c:v>
                </c:pt>
                <c:pt idx="2">
                  <c:v>-4.5</c:v>
                </c:pt>
                <c:pt idx="3">
                  <c:v>-4</c:v>
                </c:pt>
                <c:pt idx="4">
                  <c:v>-3.5</c:v>
                </c:pt>
                <c:pt idx="5">
                  <c:v>-3</c:v>
                </c:pt>
                <c:pt idx="6">
                  <c:v>-2.5</c:v>
                </c:pt>
                <c:pt idx="7">
                  <c:v>-2</c:v>
                </c:pt>
                <c:pt idx="8">
                  <c:v>-1.5</c:v>
                </c:pt>
                <c:pt idx="9">
                  <c:v>-1</c:v>
                </c:pt>
                <c:pt idx="10">
                  <c:v>-0.5</c:v>
                </c:pt>
                <c:pt idx="11">
                  <c:v>0</c:v>
                </c:pt>
                <c:pt idx="12">
                  <c:v>0.5</c:v>
                </c:pt>
                <c:pt idx="13">
                  <c:v>1</c:v>
                </c:pt>
                <c:pt idx="14">
                  <c:v>1.5</c:v>
                </c:pt>
                <c:pt idx="15">
                  <c:v>2</c:v>
                </c:pt>
                <c:pt idx="16">
                  <c:v>2.5</c:v>
                </c:pt>
                <c:pt idx="17">
                  <c:v>3</c:v>
                </c:pt>
                <c:pt idx="18">
                  <c:v>3.5</c:v>
                </c:pt>
                <c:pt idx="19">
                  <c:v>4</c:v>
                </c:pt>
                <c:pt idx="20">
                  <c:v>4.5</c:v>
                </c:pt>
                <c:pt idx="21">
                  <c:v>5</c:v>
                </c:pt>
                <c:pt idx="22">
                  <c:v>5.5</c:v>
                </c:pt>
              </c:numCache>
            </c:numRef>
          </c:xVal>
          <c:yVal>
            <c:numRef>
              <c:f>DirectApproach!$C$75:$C$97</c:f>
              <c:numCache>
                <c:formatCode>General</c:formatCode>
                <c:ptCount val="23"/>
                <c:pt idx="0">
                  <c:v>1.7002368027257106</c:v>
                </c:pt>
                <c:pt idx="1">
                  <c:v>1.6087615473453314</c:v>
                </c:pt>
                <c:pt idx="2">
                  <c:v>1.5207537539806899</c:v>
                </c:pt>
                <c:pt idx="3">
                  <c:v>1.4370492066279854</c:v>
                </c:pt>
                <c:pt idx="4">
                  <c:v>1.3586083991661515</c:v>
                </c:pt>
                <c:pt idx="5">
                  <c:v>1.286531857493157</c:v>
                </c:pt>
                <c:pt idx="6">
                  <c:v>1.2220601872158909</c:v>
                </c:pt>
                <c:pt idx="7">
                  <c:v>1.1665483584357113</c:v>
                </c:pt>
                <c:pt idx="8">
                  <c:v>1.1214023062012064</c:v>
                </c:pt>
                <c:pt idx="9">
                  <c:v>1.0879700316521261</c:v>
                </c:pt>
                <c:pt idx="10">
                  <c:v>1.0673926393898996</c:v>
                </c:pt>
                <c:pt idx="11">
                  <c:v>1.060442204695482</c:v>
                </c:pt>
                <c:pt idx="12">
                  <c:v>1.0673926393898996</c:v>
                </c:pt>
                <c:pt idx="13">
                  <c:v>1.0879700316521261</c:v>
                </c:pt>
                <c:pt idx="14">
                  <c:v>1.1214023062012064</c:v>
                </c:pt>
                <c:pt idx="15">
                  <c:v>1.1665483584357113</c:v>
                </c:pt>
                <c:pt idx="16">
                  <c:v>1.2220601872158909</c:v>
                </c:pt>
                <c:pt idx="17">
                  <c:v>1.286531857493157</c:v>
                </c:pt>
                <c:pt idx="18">
                  <c:v>1.3586083991661515</c:v>
                </c:pt>
                <c:pt idx="19">
                  <c:v>1.4370492066279854</c:v>
                </c:pt>
                <c:pt idx="20">
                  <c:v>1.5207537539806899</c:v>
                </c:pt>
                <c:pt idx="21">
                  <c:v>1.6087615473453314</c:v>
                </c:pt>
                <c:pt idx="22">
                  <c:v>1.7002368027257106</c:v>
                </c:pt>
              </c:numCache>
            </c:numRef>
          </c:yVal>
          <c:smooth val="0"/>
        </c:ser>
        <c:ser>
          <c:idx val="1"/>
          <c:order val="1"/>
          <c:tx>
            <c:v>Azimuth angle</c:v>
          </c:tx>
          <c:spPr>
            <a:ln w="12700">
              <a:solidFill>
                <a:srgbClr val="FF00FF"/>
              </a:solidFill>
              <a:prstDash val="solid"/>
            </a:ln>
          </c:spPr>
          <c:marker>
            <c:symbol val="square"/>
            <c:size val="5"/>
            <c:spPr>
              <a:solidFill>
                <a:srgbClr val="FF00FF"/>
              </a:solidFill>
              <a:ln>
                <a:solidFill>
                  <a:srgbClr val="FF00FF"/>
                </a:solidFill>
                <a:prstDash val="solid"/>
              </a:ln>
            </c:spPr>
          </c:marker>
          <c:xVal>
            <c:numRef>
              <c:f>DirectApproach!$A$75:$A$97</c:f>
              <c:numCache>
                <c:formatCode>General</c:formatCode>
                <c:ptCount val="23"/>
                <c:pt idx="0">
                  <c:v>-5.5</c:v>
                </c:pt>
                <c:pt idx="1">
                  <c:v>-5</c:v>
                </c:pt>
                <c:pt idx="2">
                  <c:v>-4.5</c:v>
                </c:pt>
                <c:pt idx="3">
                  <c:v>-4</c:v>
                </c:pt>
                <c:pt idx="4">
                  <c:v>-3.5</c:v>
                </c:pt>
                <c:pt idx="5">
                  <c:v>-3</c:v>
                </c:pt>
                <c:pt idx="6">
                  <c:v>-2.5</c:v>
                </c:pt>
                <c:pt idx="7">
                  <c:v>-2</c:v>
                </c:pt>
                <c:pt idx="8">
                  <c:v>-1.5</c:v>
                </c:pt>
                <c:pt idx="9">
                  <c:v>-1</c:v>
                </c:pt>
                <c:pt idx="10">
                  <c:v>-0.5</c:v>
                </c:pt>
                <c:pt idx="11">
                  <c:v>0</c:v>
                </c:pt>
                <c:pt idx="12">
                  <c:v>0.5</c:v>
                </c:pt>
                <c:pt idx="13">
                  <c:v>1</c:v>
                </c:pt>
                <c:pt idx="14">
                  <c:v>1.5</c:v>
                </c:pt>
                <c:pt idx="15">
                  <c:v>2</c:v>
                </c:pt>
                <c:pt idx="16">
                  <c:v>2.5</c:v>
                </c:pt>
                <c:pt idx="17">
                  <c:v>3</c:v>
                </c:pt>
                <c:pt idx="18">
                  <c:v>3.5</c:v>
                </c:pt>
                <c:pt idx="19">
                  <c:v>4</c:v>
                </c:pt>
                <c:pt idx="20">
                  <c:v>4.5</c:v>
                </c:pt>
                <c:pt idx="21">
                  <c:v>5</c:v>
                </c:pt>
                <c:pt idx="22">
                  <c:v>5.5</c:v>
                </c:pt>
              </c:numCache>
            </c:numRef>
          </c:xVal>
          <c:yVal>
            <c:numRef>
              <c:f>DirectApproach!$D$75:$D$97</c:f>
              <c:numCache>
                <c:formatCode>General</c:formatCode>
                <c:ptCount val="23"/>
                <c:pt idx="0">
                  <c:v>1.9161848892287558</c:v>
                </c:pt>
                <c:pt idx="1">
                  <c:v>1.9990044982236603</c:v>
                </c:pt>
                <c:pt idx="2">
                  <c:v>2.0852233305267269</c:v>
                </c:pt>
                <c:pt idx="3">
                  <c:v>2.1760081460847287</c:v>
                </c:pt>
                <c:pt idx="4">
                  <c:v>2.2724540579081296</c:v>
                </c:pt>
                <c:pt idx="5">
                  <c:v>2.3755367992836476</c:v>
                </c:pt>
                <c:pt idx="6">
                  <c:v>2.4860173022271566</c:v>
                </c:pt>
                <c:pt idx="7">
                  <c:v>2.6042965685623578</c:v>
                </c:pt>
                <c:pt idx="8">
                  <c:v>2.7302353947294842</c:v>
                </c:pt>
                <c:pt idx="9">
                  <c:v>2.8629829576521835</c:v>
                </c:pt>
                <c:pt idx="10">
                  <c:v>3.0008903729838883</c:v>
                </c:pt>
                <c:pt idx="11">
                  <c:v>3.1415926535897931</c:v>
                </c:pt>
                <c:pt idx="12">
                  <c:v>3.282294934195698</c:v>
                </c:pt>
                <c:pt idx="13">
                  <c:v>3.4202023495274028</c:v>
                </c:pt>
                <c:pt idx="14">
                  <c:v>3.5529499124501021</c:v>
                </c:pt>
                <c:pt idx="15">
                  <c:v>3.6788887386172284</c:v>
                </c:pt>
                <c:pt idx="16">
                  <c:v>3.7971680049524297</c:v>
                </c:pt>
                <c:pt idx="17">
                  <c:v>3.9076485078959386</c:v>
                </c:pt>
                <c:pt idx="18">
                  <c:v>4.0107312492714566</c:v>
                </c:pt>
                <c:pt idx="19">
                  <c:v>4.1071771610948575</c:v>
                </c:pt>
                <c:pt idx="20">
                  <c:v>4.1979619766528593</c:v>
                </c:pt>
                <c:pt idx="21">
                  <c:v>4.2841808089559255</c:v>
                </c:pt>
                <c:pt idx="22">
                  <c:v>4.3670004179508304</c:v>
                </c:pt>
              </c:numCache>
            </c:numRef>
          </c:yVal>
          <c:smooth val="0"/>
        </c:ser>
        <c:dLbls>
          <c:showLegendKey val="0"/>
          <c:showVal val="0"/>
          <c:showCatName val="0"/>
          <c:showSerName val="0"/>
          <c:showPercent val="0"/>
          <c:showBubbleSize val="0"/>
        </c:dLbls>
        <c:axId val="291664048"/>
        <c:axId val="291664440"/>
      </c:scatterChart>
      <c:valAx>
        <c:axId val="291664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91664440"/>
        <c:crosses val="autoZero"/>
        <c:crossBetween val="midCat"/>
      </c:valAx>
      <c:valAx>
        <c:axId val="29166444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91664048"/>
        <c:crosses val="autoZero"/>
        <c:crossBetween val="midCat"/>
      </c:valAx>
      <c:spPr>
        <a:solidFill>
          <a:srgbClr val="C0C0C0"/>
        </a:solidFill>
        <a:ln w="12700">
          <a:solidFill>
            <a:srgbClr val="808080"/>
          </a:solidFill>
          <a:prstDash val="solid"/>
        </a:ln>
      </c:spPr>
    </c:plotArea>
    <c:legend>
      <c:legendPos val="r"/>
      <c:layout>
        <c:manualLayout>
          <c:xMode val="edge"/>
          <c:yMode val="edge"/>
          <c:x val="0.6241620965323782"/>
          <c:y val="0.12328787739437974"/>
          <c:w val="0.32550388905183164"/>
          <c:h val="0.2294524384839845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266700</xdr:colOff>
          <xdr:row>42</xdr:row>
          <xdr:rowOff>19050</xdr:rowOff>
        </xdr:from>
        <xdr:to>
          <xdr:col>5</xdr:col>
          <xdr:colOff>476250</xdr:colOff>
          <xdr:row>68</xdr:row>
          <xdr:rowOff>85725</xdr:rowOff>
        </xdr:to>
        <xdr:sp macro="" textlink="">
          <xdr:nvSpPr>
            <xdr:cNvPr id="9217" name="Object 1" hidden="1">
              <a:extLst>
                <a:ext uri="{63B3BB69-23CF-44E3-9099-C40C66FF867C}">
                  <a14:compatExt spid="_x0000_s921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8</xdr:col>
      <xdr:colOff>161925</xdr:colOff>
      <xdr:row>91</xdr:row>
      <xdr:rowOff>114300</xdr:rowOff>
    </xdr:from>
    <xdr:to>
      <xdr:col>13</xdr:col>
      <xdr:colOff>47625</xdr:colOff>
      <xdr:row>108</xdr:row>
      <xdr:rowOff>142875</xdr:rowOff>
    </xdr:to>
    <xdr:graphicFrame macro="">
      <xdr:nvGraphicFramePr>
        <xdr:cNvPr id="921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180975</xdr:colOff>
      <xdr:row>71</xdr:row>
      <xdr:rowOff>85725</xdr:rowOff>
    </xdr:from>
    <xdr:to>
      <xdr:col>13</xdr:col>
      <xdr:colOff>66675</xdr:colOff>
      <xdr:row>88</xdr:row>
      <xdr:rowOff>114300</xdr:rowOff>
    </xdr:to>
    <xdr:graphicFrame macro="">
      <xdr:nvGraphicFramePr>
        <xdr:cNvPr id="921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6"/>
  <sheetViews>
    <sheetView tabSelected="1" workbookViewId="0">
      <selection activeCell="N15" sqref="N15"/>
    </sheetView>
  </sheetViews>
  <sheetFormatPr defaultColWidth="12" defaultRowHeight="12.75" x14ac:dyDescent="0.2"/>
  <cols>
    <col min="3" max="3" width="10.7109375" customWidth="1"/>
    <col min="7" max="7" width="10.7109375" customWidth="1"/>
    <col min="8" max="8" width="8.28515625" customWidth="1"/>
    <col min="15" max="15" width="10.7109375" customWidth="1"/>
    <col min="16" max="16" width="8.7109375" customWidth="1"/>
  </cols>
  <sheetData>
    <row r="1" spans="1:9" x14ac:dyDescent="0.2">
      <c r="A1" s="10"/>
      <c r="C1" s="11" t="s">
        <v>2</v>
      </c>
      <c r="D1" s="10"/>
      <c r="E1" s="10"/>
      <c r="F1" s="12"/>
      <c r="G1" s="12"/>
      <c r="H1" s="13" t="s">
        <v>3</v>
      </c>
    </row>
    <row r="2" spans="1:9" x14ac:dyDescent="0.2">
      <c r="A2" s="10"/>
      <c r="C2" s="11" t="s">
        <v>4</v>
      </c>
      <c r="D2" s="10"/>
      <c r="E2" s="10"/>
      <c r="F2" s="12"/>
      <c r="G2" s="12"/>
      <c r="H2" s="13" t="s">
        <v>5</v>
      </c>
    </row>
    <row r="3" spans="1:9" x14ac:dyDescent="0.2">
      <c r="A3" s="10"/>
      <c r="C3" s="14" t="s">
        <v>6</v>
      </c>
      <c r="D3" s="10"/>
      <c r="E3" s="10"/>
      <c r="F3" s="12"/>
      <c r="G3" s="12"/>
      <c r="H3" s="15" t="s">
        <v>7</v>
      </c>
    </row>
    <row r="4" spans="1:9" x14ac:dyDescent="0.2">
      <c r="A4" s="10"/>
      <c r="B4" s="10"/>
      <c r="C4" s="16"/>
      <c r="D4" s="10"/>
      <c r="E4" s="10"/>
      <c r="F4" s="10"/>
      <c r="G4" s="10"/>
      <c r="I4" s="16"/>
    </row>
    <row r="5" spans="1:9" x14ac:dyDescent="0.2">
      <c r="A5" s="17"/>
      <c r="B5" s="18"/>
      <c r="C5" s="19" t="s">
        <v>8</v>
      </c>
      <c r="D5" s="20" t="s">
        <v>9</v>
      </c>
      <c r="E5" s="19" t="s">
        <v>10</v>
      </c>
      <c r="F5" s="21" t="s">
        <v>11</v>
      </c>
      <c r="G5" s="10"/>
      <c r="I5" s="16"/>
    </row>
    <row r="6" spans="1:9" ht="15.75" x14ac:dyDescent="0.25">
      <c r="A6" s="22"/>
      <c r="B6" s="23" t="s">
        <v>12</v>
      </c>
      <c r="C6" s="24">
        <v>4.9210000000000003</v>
      </c>
      <c r="D6" s="25">
        <f>24*C6</f>
        <v>118.10400000000001</v>
      </c>
      <c r="E6" s="26">
        <v>1367</v>
      </c>
      <c r="F6" s="27">
        <v>2821</v>
      </c>
      <c r="G6" s="16"/>
      <c r="H6" s="28"/>
      <c r="I6" s="16"/>
    </row>
    <row r="7" spans="1:9" x14ac:dyDescent="0.2">
      <c r="A7" s="29"/>
      <c r="B7" s="30"/>
      <c r="C7" s="31" t="s">
        <v>13</v>
      </c>
      <c r="D7" s="10"/>
      <c r="E7" s="32" t="s">
        <v>14</v>
      </c>
      <c r="F7" s="33"/>
      <c r="G7" s="10"/>
      <c r="I7" s="16"/>
    </row>
    <row r="8" spans="1:9" x14ac:dyDescent="0.2">
      <c r="A8" s="34" t="s">
        <v>15</v>
      </c>
      <c r="B8" s="6"/>
      <c r="C8" s="35" t="s">
        <v>16</v>
      </c>
      <c r="D8" s="36" t="s">
        <v>149</v>
      </c>
      <c r="E8" s="37"/>
      <c r="F8" s="37"/>
      <c r="G8" s="38"/>
      <c r="I8" s="16"/>
    </row>
    <row r="9" spans="1:9" x14ac:dyDescent="0.2">
      <c r="A9" s="39"/>
      <c r="B9" s="40"/>
      <c r="C9" s="41" t="s">
        <v>17</v>
      </c>
      <c r="D9" s="42">
        <v>41</v>
      </c>
      <c r="E9" s="43" t="s">
        <v>18</v>
      </c>
      <c r="F9" s="44">
        <f>(D9/360)*2*PI()</f>
        <v>0.71558499331767511</v>
      </c>
      <c r="G9" s="45" t="s">
        <v>19</v>
      </c>
      <c r="I9" s="16"/>
    </row>
    <row r="10" spans="1:9" x14ac:dyDescent="0.2">
      <c r="A10" s="39"/>
      <c r="B10" s="40"/>
      <c r="C10" s="46" t="s">
        <v>20</v>
      </c>
      <c r="D10" s="42">
        <v>70</v>
      </c>
      <c r="E10" s="43" t="s">
        <v>18</v>
      </c>
      <c r="F10" s="44">
        <f>(D10/360)*2*PI()</f>
        <v>1.2217304763960306</v>
      </c>
      <c r="G10" s="45" t="s">
        <v>19</v>
      </c>
      <c r="I10" s="16"/>
    </row>
    <row r="11" spans="1:9" x14ac:dyDescent="0.2">
      <c r="A11" s="39"/>
      <c r="C11" s="41" t="s">
        <v>21</v>
      </c>
      <c r="D11" s="42">
        <v>20</v>
      </c>
      <c r="E11" s="43" t="s">
        <v>18</v>
      </c>
      <c r="F11" s="44">
        <f>(D11/360)*2*PI()</f>
        <v>0.3490658503988659</v>
      </c>
      <c r="G11" s="45" t="s">
        <v>19</v>
      </c>
      <c r="I11" s="16"/>
    </row>
    <row r="12" spans="1:9" x14ac:dyDescent="0.2">
      <c r="A12" s="47" t="s">
        <v>22</v>
      </c>
      <c r="B12" s="48"/>
      <c r="C12" s="49" t="s">
        <v>23</v>
      </c>
      <c r="D12" s="50">
        <v>325</v>
      </c>
      <c r="E12" s="49" t="s">
        <v>24</v>
      </c>
      <c r="F12" s="51">
        <f>D12</f>
        <v>325</v>
      </c>
      <c r="G12" s="38"/>
      <c r="H12" s="40"/>
    </row>
    <row r="13" spans="1:9" x14ac:dyDescent="0.2">
      <c r="A13" s="52"/>
      <c r="B13" s="40"/>
      <c r="C13" s="41" t="s">
        <v>25</v>
      </c>
      <c r="D13" s="53">
        <f>(180/PI())*(0.006918-0.399912*COS(D19)+0.070257*SIN(D19)-0.006758*COS(2*D19)+0.000907*SIN(2*D19)-0.002697*COS(3*D19)+0.00148*SIN(3*D19))</f>
        <v>-19.758862746599252</v>
      </c>
      <c r="E13" s="43" t="s">
        <v>26</v>
      </c>
      <c r="F13" s="44">
        <f>(D13/360)*2*PI()</f>
        <v>-0.34485721137780695</v>
      </c>
      <c r="G13" s="54" t="s">
        <v>19</v>
      </c>
      <c r="I13" s="16"/>
    </row>
    <row r="14" spans="1:9" x14ac:dyDescent="0.2">
      <c r="A14" s="7"/>
      <c r="B14" s="55"/>
      <c r="C14" s="56" t="s">
        <v>27</v>
      </c>
      <c r="D14" s="57">
        <v>4.5999999999999996</v>
      </c>
      <c r="E14" s="58" t="s">
        <v>28</v>
      </c>
      <c r="F14" s="8"/>
      <c r="G14" s="9"/>
      <c r="I14" s="16"/>
    </row>
    <row r="15" spans="1:9" x14ac:dyDescent="0.2">
      <c r="A15" s="34" t="s">
        <v>29</v>
      </c>
      <c r="B15" s="48"/>
      <c r="C15" s="49" t="s">
        <v>30</v>
      </c>
      <c r="D15" s="59">
        <v>5</v>
      </c>
      <c r="E15" s="60" t="s">
        <v>31</v>
      </c>
      <c r="F15" s="6"/>
      <c r="G15" s="38"/>
      <c r="I15" s="16"/>
    </row>
    <row r="16" spans="1:9" x14ac:dyDescent="0.2">
      <c r="A16" s="52"/>
      <c r="B16" s="40"/>
      <c r="C16" s="41" t="s">
        <v>32</v>
      </c>
      <c r="D16" s="61">
        <v>0.5</v>
      </c>
      <c r="E16" s="62" t="s">
        <v>33</v>
      </c>
      <c r="F16" s="5"/>
      <c r="G16" s="63"/>
      <c r="I16" s="16"/>
    </row>
    <row r="17" spans="1:9" x14ac:dyDescent="0.2">
      <c r="A17" s="52"/>
      <c r="B17" s="40"/>
      <c r="C17" s="41" t="s">
        <v>34</v>
      </c>
      <c r="D17" s="64">
        <v>0.3</v>
      </c>
      <c r="E17" s="62" t="s">
        <v>35</v>
      </c>
      <c r="F17" s="5"/>
      <c r="G17" s="63"/>
      <c r="I17" s="16"/>
    </row>
    <row r="18" spans="1:9" x14ac:dyDescent="0.2">
      <c r="A18" s="52"/>
      <c r="B18" s="65"/>
      <c r="C18" s="46" t="s">
        <v>36</v>
      </c>
      <c r="D18" s="64">
        <v>0.05</v>
      </c>
      <c r="E18" s="65" t="s">
        <v>37</v>
      </c>
      <c r="F18" s="5"/>
      <c r="G18" s="63"/>
    </row>
    <row r="19" spans="1:9" x14ac:dyDescent="0.2">
      <c r="A19" s="47" t="s">
        <v>38</v>
      </c>
      <c r="B19" s="37"/>
      <c r="C19" s="49" t="s">
        <v>39</v>
      </c>
      <c r="D19" s="66">
        <f>2*PI()*(D12-1)/365</f>
        <v>5.5774028480169475</v>
      </c>
      <c r="E19" s="67" t="s">
        <v>40</v>
      </c>
      <c r="F19" s="66">
        <f>(D19/(2*PI()))*360</f>
        <v>319.56164383561639</v>
      </c>
      <c r="G19" s="68" t="s">
        <v>41</v>
      </c>
      <c r="I19" s="16"/>
    </row>
    <row r="20" spans="1:9" x14ac:dyDescent="0.2">
      <c r="A20" s="69"/>
      <c r="B20" s="70"/>
      <c r="C20" s="41" t="s">
        <v>42</v>
      </c>
      <c r="D20" s="44">
        <f>1.00011+0.034221*COS(D19)+0.00128*SIN(D19)+0.000719*COS(2*D19)+0.000077*SIN(2*D19)</f>
        <v>1.0253634812883303</v>
      </c>
      <c r="E20" s="70"/>
      <c r="F20" s="70"/>
      <c r="G20" s="71"/>
      <c r="I20" s="10"/>
    </row>
    <row r="21" spans="1:9" x14ac:dyDescent="0.2">
      <c r="A21" s="3"/>
      <c r="B21" s="5"/>
      <c r="C21" s="46" t="s">
        <v>43</v>
      </c>
      <c r="D21" s="44">
        <f>0.611*EXP(17.3*D15/(D15+237.3))*D16</f>
        <v>0.43656847629065249</v>
      </c>
      <c r="E21" s="43" t="s">
        <v>44</v>
      </c>
      <c r="F21" s="5"/>
      <c r="G21" s="4"/>
      <c r="I21" s="16"/>
    </row>
    <row r="22" spans="1:9" x14ac:dyDescent="0.2">
      <c r="A22" s="72"/>
      <c r="B22" s="40"/>
      <c r="C22" s="46" t="s">
        <v>45</v>
      </c>
      <c r="D22" s="73">
        <f>(LN(D21)+0.4926)/(0.0708-0.00421*LN(D21))</f>
        <v>-4.5256865286866743</v>
      </c>
      <c r="E22" s="74" t="s">
        <v>31</v>
      </c>
      <c r="F22" s="65"/>
      <c r="G22" s="63"/>
      <c r="I22" s="16"/>
    </row>
    <row r="23" spans="1:9" x14ac:dyDescent="0.2">
      <c r="A23" s="3"/>
      <c r="B23" s="5"/>
      <c r="C23" s="46" t="s">
        <v>46</v>
      </c>
      <c r="D23" s="73">
        <f>1.12*EXP(0.0614*D22)</f>
        <v>0.84827664205371855</v>
      </c>
      <c r="E23" s="62" t="s">
        <v>0</v>
      </c>
      <c r="F23" s="5"/>
      <c r="G23" s="4"/>
      <c r="I23" s="16"/>
    </row>
    <row r="24" spans="1:9" x14ac:dyDescent="0.2">
      <c r="A24" s="3"/>
      <c r="B24" s="75" t="s">
        <v>47</v>
      </c>
      <c r="C24" s="76">
        <f>EXP((-0.124-0.0207*D23)+(-0.0682-0.0248*D23)*D14)</f>
        <v>0.57576785685532983</v>
      </c>
      <c r="D24" s="75" t="s">
        <v>48</v>
      </c>
      <c r="E24" s="76">
        <f>EXP((-0.0363-0.0084*D23)+(-0.0572-0.0173*D23)*D14)</f>
        <v>0.68794156519336469</v>
      </c>
      <c r="F24" s="5"/>
      <c r="G24" s="4"/>
      <c r="I24" s="16"/>
    </row>
    <row r="25" spans="1:9" ht="13.5" thickBot="1" x14ac:dyDescent="0.25">
      <c r="A25" s="3"/>
      <c r="B25" s="77" t="s">
        <v>49</v>
      </c>
      <c r="C25" s="76">
        <f>C24-D18</f>
        <v>0.52576785685532978</v>
      </c>
      <c r="D25" s="77" t="s">
        <v>50</v>
      </c>
      <c r="E25" s="76">
        <f>1-E24+D18</f>
        <v>0.3620584348066353</v>
      </c>
      <c r="F25" s="5"/>
      <c r="G25" s="4"/>
      <c r="I25" s="16"/>
    </row>
    <row r="26" spans="1:9" x14ac:dyDescent="0.2">
      <c r="A26" s="78"/>
      <c r="B26" s="79"/>
      <c r="C26" s="79"/>
      <c r="D26" s="80" t="s">
        <v>51</v>
      </c>
      <c r="E26" s="79"/>
      <c r="F26" s="79"/>
      <c r="G26" s="81"/>
      <c r="H26" s="10"/>
      <c r="I26" s="16"/>
    </row>
    <row r="27" spans="1:9" x14ac:dyDescent="0.2">
      <c r="A27" s="82"/>
      <c r="B27" s="83"/>
      <c r="C27" s="84" t="s">
        <v>52</v>
      </c>
      <c r="D27" s="83"/>
      <c r="E27" s="85"/>
      <c r="F27" s="6"/>
      <c r="G27" s="86"/>
      <c r="H27" s="87"/>
      <c r="I27" s="16"/>
    </row>
    <row r="28" spans="1:9" x14ac:dyDescent="0.2">
      <c r="A28" s="88"/>
      <c r="B28" s="46" t="s">
        <v>53</v>
      </c>
      <c r="C28" s="89">
        <f>IF(ABS(TAN($F$9)*TAN($F$13))&lt;1,-ACOS(-TAN($F$9)*TAN($F$13))/0.2618,"POLAR")</f>
        <v>-4.7869662085346247</v>
      </c>
      <c r="D28" s="43" t="s">
        <v>54</v>
      </c>
      <c r="E28" s="90" t="s">
        <v>55</v>
      </c>
      <c r="F28" s="89">
        <f>IF(ABS(TAN($F$9)*TAN($F$13))&lt;1,ACOS(-TAN($F$9)*TAN($F$13))/0.2618,"POLAR")</f>
        <v>4.7869662085346247</v>
      </c>
      <c r="G28" s="91" t="s">
        <v>54</v>
      </c>
      <c r="H28" s="29"/>
      <c r="I28" s="16"/>
    </row>
    <row r="29" spans="1:9" x14ac:dyDescent="0.2">
      <c r="A29" s="92"/>
      <c r="B29" s="40"/>
      <c r="C29" s="41" t="s">
        <v>56</v>
      </c>
      <c r="D29" s="89">
        <f>IF(ABS(TAN($F$9)*TAN($F$13))&lt;1,2*F28,"POLAR")</f>
        <v>9.5739324170692495</v>
      </c>
      <c r="E29" s="43" t="s">
        <v>54</v>
      </c>
      <c r="F29" s="5"/>
      <c r="G29" s="93"/>
      <c r="H29" s="10"/>
      <c r="I29" s="16"/>
    </row>
    <row r="30" spans="1:9" x14ac:dyDescent="0.2">
      <c r="A30" s="94"/>
      <c r="B30" s="46" t="s">
        <v>57</v>
      </c>
      <c r="C30" s="76">
        <f>2*$C$6*$D$20*(COS($F$13)*COS($F$9)*SIN(0.2618*F28)/0.2618+SIN($F$13)*SIN($F$9)*F28)</f>
        <v>15.295778157218692</v>
      </c>
      <c r="D30" s="43" t="s">
        <v>58</v>
      </c>
      <c r="E30" s="95" t="s">
        <v>59</v>
      </c>
      <c r="F30" s="96">
        <f t="shared" ref="F30:F35" si="0">C30*11.575</f>
        <v>177.04863216980635</v>
      </c>
      <c r="G30" s="97" t="s">
        <v>10</v>
      </c>
      <c r="H30" s="16"/>
      <c r="I30" s="16"/>
    </row>
    <row r="31" spans="1:9" x14ac:dyDescent="0.2">
      <c r="A31" s="94"/>
      <c r="B31" s="46" t="s">
        <v>60</v>
      </c>
      <c r="C31" s="76">
        <f>$C$25*C30</f>
        <v>8.0420285006554373</v>
      </c>
      <c r="D31" s="43" t="s">
        <v>58</v>
      </c>
      <c r="E31" s="95" t="s">
        <v>59</v>
      </c>
      <c r="F31" s="96">
        <f t="shared" si="0"/>
        <v>93.086479895086683</v>
      </c>
      <c r="G31" s="97" t="s">
        <v>10</v>
      </c>
      <c r="I31" s="98"/>
    </row>
    <row r="32" spans="1:9" x14ac:dyDescent="0.2">
      <c r="A32" s="94"/>
      <c r="B32" s="41" t="s">
        <v>61</v>
      </c>
      <c r="C32" s="76">
        <f>0.5*$E$25*C30</f>
        <v>2.7689827493760601</v>
      </c>
      <c r="D32" s="43" t="s">
        <v>58</v>
      </c>
      <c r="E32" s="95" t="s">
        <v>59</v>
      </c>
      <c r="F32" s="96">
        <f t="shared" si="0"/>
        <v>32.050975324027895</v>
      </c>
      <c r="G32" s="97" t="s">
        <v>10</v>
      </c>
      <c r="H32" s="10" t="str">
        <f>IF(TAN(F9)*TAN(F13)&lt;-1,"0","")</f>
        <v/>
      </c>
      <c r="I32" s="98"/>
    </row>
    <row r="33" spans="1:9" x14ac:dyDescent="0.2">
      <c r="A33" s="94"/>
      <c r="B33" s="46" t="s">
        <v>62</v>
      </c>
      <c r="C33" s="76">
        <f>C31+C32</f>
        <v>10.811011250031498</v>
      </c>
      <c r="D33" s="43" t="s">
        <v>58</v>
      </c>
      <c r="E33" s="95" t="s">
        <v>59</v>
      </c>
      <c r="F33" s="96">
        <f t="shared" si="0"/>
        <v>125.13745521911459</v>
      </c>
      <c r="G33" s="97" t="s">
        <v>10</v>
      </c>
      <c r="H33" s="10"/>
      <c r="I33" s="98"/>
    </row>
    <row r="34" spans="1:9" x14ac:dyDescent="0.2">
      <c r="A34" s="94"/>
      <c r="B34" s="46" t="s">
        <v>63</v>
      </c>
      <c r="C34" s="76">
        <f>0.5*$E$25*$D$17*C33</f>
        <v>0.58713267177949946</v>
      </c>
      <c r="D34" s="43" t="s">
        <v>58</v>
      </c>
      <c r="E34" s="95" t="s">
        <v>59</v>
      </c>
      <c r="F34" s="96">
        <f t="shared" si="0"/>
        <v>6.7960606758477056</v>
      </c>
      <c r="G34" s="97" t="s">
        <v>10</v>
      </c>
      <c r="H34" s="10"/>
      <c r="I34" s="98"/>
    </row>
    <row r="35" spans="1:9" x14ac:dyDescent="0.2">
      <c r="A35" s="99"/>
      <c r="B35" s="100" t="s">
        <v>64</v>
      </c>
      <c r="C35" s="101">
        <f>C33+C34</f>
        <v>11.398143921810998</v>
      </c>
      <c r="D35" s="102" t="s">
        <v>58</v>
      </c>
      <c r="E35" s="103" t="s">
        <v>59</v>
      </c>
      <c r="F35" s="104">
        <f t="shared" si="0"/>
        <v>131.93351589496228</v>
      </c>
      <c r="G35" s="105" t="s">
        <v>10</v>
      </c>
      <c r="H35" s="30"/>
      <c r="I35" s="98"/>
    </row>
    <row r="36" spans="1:9" x14ac:dyDescent="0.2">
      <c r="A36" s="82"/>
      <c r="B36" s="83"/>
      <c r="C36" s="106"/>
      <c r="D36" s="107" t="s">
        <v>65</v>
      </c>
      <c r="E36" s="83"/>
      <c r="F36" s="5"/>
      <c r="G36" s="86"/>
      <c r="H36" s="10"/>
      <c r="I36" s="98"/>
    </row>
    <row r="37" spans="1:9" x14ac:dyDescent="0.2">
      <c r="A37" s="108"/>
      <c r="B37" s="5"/>
      <c r="C37" s="5"/>
      <c r="D37" s="109" t="str">
        <f>IF($D$10&lt;90,IF($D$9+$D$11&gt;90,"WARNING: BETA + LAMBDA &gt; 90, VALUES IN ERROR FOR N-FACING SLOPES",""),IF($D$10&gt;270,IF($D$9+$D$11&gt;90,"WARNING: BETA + LAMBDA &gt; 90, VALUES IN ERROR FOR N-FACING SLOPES",""),""))</f>
        <v/>
      </c>
      <c r="E37" s="5"/>
      <c r="F37" s="5"/>
      <c r="G37" s="93"/>
      <c r="I37" s="16"/>
    </row>
    <row r="38" spans="1:9" x14ac:dyDescent="0.2">
      <c r="A38" s="108"/>
      <c r="B38" s="46"/>
      <c r="C38" s="110" t="s">
        <v>66</v>
      </c>
      <c r="D38" s="76">
        <f>ATAN(SIN(F11)*SIN(F10)/(COS(F11)*COS(F9)-SIN(F11)*SIN(F9)*COS(F10)))</f>
        <v>0.47016390418205611</v>
      </c>
      <c r="E38" s="43" t="s">
        <v>67</v>
      </c>
      <c r="F38" s="76">
        <f>D38*180/PI()</f>
        <v>26.938407389025048</v>
      </c>
      <c r="G38" s="111" t="s">
        <v>41</v>
      </c>
      <c r="H38" s="112"/>
      <c r="I38" s="16"/>
    </row>
    <row r="39" spans="1:9" x14ac:dyDescent="0.2">
      <c r="A39" s="108"/>
      <c r="B39" s="62"/>
      <c r="C39" s="110" t="s">
        <v>68</v>
      </c>
      <c r="D39" s="76">
        <f>ASIN(SIN(F11)*COS(F10)*COS(F9)+COS(F11)*SIN(F9))</f>
        <v>0.78211027950207079</v>
      </c>
      <c r="E39" s="43" t="s">
        <v>67</v>
      </c>
      <c r="F39" s="76">
        <f>D39*180/PI()</f>
        <v>44.811618129265838</v>
      </c>
      <c r="G39" s="111" t="s">
        <v>41</v>
      </c>
      <c r="H39" s="10"/>
      <c r="I39" s="16"/>
    </row>
    <row r="40" spans="1:9" x14ac:dyDescent="0.2">
      <c r="A40" s="88"/>
      <c r="B40" s="46" t="s">
        <v>53</v>
      </c>
      <c r="C40" s="89">
        <f>IF(C28="POLAR","POLAR",MAX((-ACOS(-TAN($D$39)*TAN($F$13))-$D$38)/0.2618,C28))</f>
        <v>-4.7869662085346247</v>
      </c>
      <c r="D40" s="43" t="s">
        <v>69</v>
      </c>
      <c r="E40" s="90" t="s">
        <v>55</v>
      </c>
      <c r="F40" s="89">
        <f>IF(F28="POLAR","POLAR",MIN((ACOS(-TAN($D$39)*TAN($F$13))-$D$38)/0.2618,F28))</f>
        <v>2.8102798480306705</v>
      </c>
      <c r="G40" s="91" t="s">
        <v>54</v>
      </c>
      <c r="H40" s="16"/>
      <c r="I40" s="16"/>
    </row>
    <row r="41" spans="1:9" x14ac:dyDescent="0.2">
      <c r="A41" s="113"/>
      <c r="B41" s="8"/>
      <c r="C41" s="114" t="s">
        <v>56</v>
      </c>
      <c r="D41" s="115">
        <f>IF(D29="POLAR","POLAR",-C40+F40)</f>
        <v>7.5972460565652948</v>
      </c>
      <c r="E41" s="116" t="s">
        <v>54</v>
      </c>
      <c r="F41" s="8"/>
      <c r="G41" s="117"/>
      <c r="H41" s="118"/>
      <c r="I41" s="16"/>
    </row>
    <row r="42" spans="1:9" x14ac:dyDescent="0.2">
      <c r="A42" s="94"/>
      <c r="B42" s="46" t="s">
        <v>57</v>
      </c>
      <c r="C42" s="76">
        <f>$C$6*$D$20*(COS($D$39)*COS($F$13)*((SIN(0.2618*$F$40+$D$38)-SIN(0.2618*$C$40+$D$38))/0.2618)+SIN($D$39)*SIN($F$13)*($F$40-$C$40))</f>
        <v>11.965324239436429</v>
      </c>
      <c r="D42" s="43" t="s">
        <v>58</v>
      </c>
      <c r="E42" s="95" t="s">
        <v>59</v>
      </c>
      <c r="F42" s="96">
        <f t="shared" ref="F42:F47" si="1">C42*11.575</f>
        <v>138.49862807147665</v>
      </c>
      <c r="G42" s="97" t="s">
        <v>10</v>
      </c>
      <c r="H42" s="10"/>
      <c r="I42" s="16"/>
    </row>
    <row r="43" spans="1:9" x14ac:dyDescent="0.2">
      <c r="A43" s="94"/>
      <c r="B43" s="46" t="s">
        <v>60</v>
      </c>
      <c r="C43" s="76">
        <f>$C$25*C42</f>
        <v>6.2909828819476203</v>
      </c>
      <c r="D43" s="43" t="s">
        <v>58</v>
      </c>
      <c r="E43" s="95" t="s">
        <v>59</v>
      </c>
      <c r="F43" s="96">
        <f t="shared" si="1"/>
        <v>72.818126858543707</v>
      </c>
      <c r="G43" s="97" t="s">
        <v>10</v>
      </c>
      <c r="H43" s="16"/>
      <c r="I43" s="16"/>
    </row>
    <row r="44" spans="1:9" x14ac:dyDescent="0.2">
      <c r="A44" s="94"/>
      <c r="B44" s="41" t="s">
        <v>61</v>
      </c>
      <c r="C44" s="76">
        <f>0.5*$E$25*C42</f>
        <v>2.1660732830421239</v>
      </c>
      <c r="D44" s="43" t="s">
        <v>58</v>
      </c>
      <c r="E44" s="95" t="s">
        <v>59</v>
      </c>
      <c r="F44" s="96">
        <f t="shared" si="1"/>
        <v>25.072298251212583</v>
      </c>
      <c r="G44" s="97" t="s">
        <v>10</v>
      </c>
      <c r="H44" s="16"/>
      <c r="I44" s="16"/>
    </row>
    <row r="45" spans="1:9" x14ac:dyDescent="0.2">
      <c r="A45" s="94"/>
      <c r="B45" s="46" t="s">
        <v>62</v>
      </c>
      <c r="C45" s="76">
        <f>C43+C44</f>
        <v>8.4570561649897442</v>
      </c>
      <c r="D45" s="43" t="s">
        <v>58</v>
      </c>
      <c r="E45" s="95" t="s">
        <v>59</v>
      </c>
      <c r="F45" s="96">
        <f t="shared" si="1"/>
        <v>97.890425109756279</v>
      </c>
      <c r="G45" s="97" t="s">
        <v>10</v>
      </c>
      <c r="H45" s="10"/>
      <c r="I45" s="16"/>
    </row>
    <row r="46" spans="1:9" x14ac:dyDescent="0.2">
      <c r="A46" s="94"/>
      <c r="B46" s="46" t="s">
        <v>63</v>
      </c>
      <c r="C46" s="76">
        <f>0.5*$E$25*$D$17*C45</f>
        <v>0.45929227772519887</v>
      </c>
      <c r="D46" s="43" t="s">
        <v>58</v>
      </c>
      <c r="E46" s="95" t="s">
        <v>59</v>
      </c>
      <c r="F46" s="96">
        <f t="shared" si="1"/>
        <v>5.3163081146691766</v>
      </c>
      <c r="G46" s="97" t="s">
        <v>10</v>
      </c>
      <c r="H46" s="10"/>
      <c r="I46" s="16"/>
    </row>
    <row r="47" spans="1:9" ht="13.5" thickBot="1" x14ac:dyDescent="0.25">
      <c r="A47" s="119"/>
      <c r="B47" s="120" t="s">
        <v>64</v>
      </c>
      <c r="C47" s="121">
        <f>C45+C46</f>
        <v>8.9163484427149431</v>
      </c>
      <c r="D47" s="122" t="s">
        <v>58</v>
      </c>
      <c r="E47" s="123" t="s">
        <v>59</v>
      </c>
      <c r="F47" s="124">
        <f t="shared" si="1"/>
        <v>103.20673322442546</v>
      </c>
      <c r="G47" s="125" t="s">
        <v>10</v>
      </c>
      <c r="H47" s="10"/>
      <c r="I47" s="16"/>
    </row>
    <row r="48" spans="1:9" x14ac:dyDescent="0.2">
      <c r="A48" s="126"/>
      <c r="B48" s="127"/>
      <c r="C48" s="127"/>
      <c r="D48" s="80" t="s">
        <v>70</v>
      </c>
      <c r="E48" s="127"/>
      <c r="F48" s="127"/>
      <c r="G48" s="128"/>
      <c r="H48" s="10"/>
      <c r="I48" s="16"/>
    </row>
    <row r="49" spans="1:9" x14ac:dyDescent="0.2">
      <c r="A49" s="82"/>
      <c r="B49" s="83"/>
      <c r="C49" s="84" t="s">
        <v>52</v>
      </c>
      <c r="D49" s="83"/>
      <c r="E49" s="85"/>
      <c r="F49" s="129"/>
      <c r="G49" s="86"/>
      <c r="H49" s="87"/>
      <c r="I49" s="16"/>
    </row>
    <row r="50" spans="1:9" x14ac:dyDescent="0.2">
      <c r="A50" s="88"/>
      <c r="B50" s="46" t="s">
        <v>53</v>
      </c>
      <c r="C50" s="76" t="str">
        <f>IF(ABS(-TAN($F$13)*TAN($F$9))&gt;1,IF( $F$13&lt;0,0,-12),"")</f>
        <v/>
      </c>
      <c r="D50" s="43" t="s">
        <v>54</v>
      </c>
      <c r="E50" s="90" t="s">
        <v>55</v>
      </c>
      <c r="F50" s="76" t="str">
        <f>IF(ABS(-TAN($F$13)*TAN($F$9))&gt;1,IF( $F$13&lt;0,0,12),"")</f>
        <v/>
      </c>
      <c r="G50" s="130" t="s">
        <v>54</v>
      </c>
      <c r="H50" s="29"/>
      <c r="I50" s="16"/>
    </row>
    <row r="51" spans="1:9" x14ac:dyDescent="0.2">
      <c r="A51" s="131"/>
      <c r="B51" s="65"/>
      <c r="C51" s="132" t="s">
        <v>56</v>
      </c>
      <c r="D51" s="133" t="e">
        <f>2*F50</f>
        <v>#VALUE!</v>
      </c>
      <c r="E51" s="134" t="s">
        <v>54</v>
      </c>
      <c r="F51" s="65"/>
      <c r="G51" s="130"/>
      <c r="H51" s="10"/>
      <c r="I51" s="16"/>
    </row>
    <row r="52" spans="1:9" x14ac:dyDescent="0.2">
      <c r="A52" s="94"/>
      <c r="B52" s="46" t="s">
        <v>57</v>
      </c>
      <c r="C52" s="76" t="e">
        <f>IF(-TAN(F13)*TAN(F9)&gt;1,0,2*$C$6*$D$20*(COS($F$13)*COS($F$9)*SIN(0.2618*F50)/0.2618+SIN($F$13)*SIN($F$9)*F50))</f>
        <v>#VALUE!</v>
      </c>
      <c r="D52" s="43" t="s">
        <v>58</v>
      </c>
      <c r="E52" s="95" t="s">
        <v>59</v>
      </c>
      <c r="F52" s="96" t="e">
        <f t="shared" ref="F52:F57" si="2">C52*11.575</f>
        <v>#VALUE!</v>
      </c>
      <c r="G52" s="97" t="s">
        <v>10</v>
      </c>
      <c r="H52" s="10"/>
      <c r="I52" s="16"/>
    </row>
    <row r="53" spans="1:9" x14ac:dyDescent="0.2">
      <c r="A53" s="94"/>
      <c r="B53" s="46" t="s">
        <v>60</v>
      </c>
      <c r="C53" s="76" t="e">
        <f>$C$25*C52</f>
        <v>#VALUE!</v>
      </c>
      <c r="D53" s="43" t="s">
        <v>58</v>
      </c>
      <c r="E53" s="95" t="s">
        <v>59</v>
      </c>
      <c r="F53" s="96" t="e">
        <f t="shared" si="2"/>
        <v>#VALUE!</v>
      </c>
      <c r="G53" s="97" t="s">
        <v>10</v>
      </c>
      <c r="H53" s="10"/>
      <c r="I53" s="16"/>
    </row>
    <row r="54" spans="1:9" x14ac:dyDescent="0.2">
      <c r="A54" s="94"/>
      <c r="B54" s="41" t="s">
        <v>61</v>
      </c>
      <c r="C54" s="76" t="e">
        <f>0.5*$E$25*C52</f>
        <v>#VALUE!</v>
      </c>
      <c r="D54" s="43" t="s">
        <v>58</v>
      </c>
      <c r="E54" s="95" t="s">
        <v>59</v>
      </c>
      <c r="F54" s="96" t="e">
        <f t="shared" si="2"/>
        <v>#VALUE!</v>
      </c>
      <c r="G54" s="97" t="s">
        <v>10</v>
      </c>
      <c r="H54" s="10"/>
      <c r="I54" s="16"/>
    </row>
    <row r="55" spans="1:9" x14ac:dyDescent="0.2">
      <c r="A55" s="94"/>
      <c r="B55" s="46" t="s">
        <v>62</v>
      </c>
      <c r="C55" s="76" t="e">
        <f>C53+C54</f>
        <v>#VALUE!</v>
      </c>
      <c r="D55" s="43" t="s">
        <v>58</v>
      </c>
      <c r="E55" s="95" t="s">
        <v>59</v>
      </c>
      <c r="F55" s="96" t="e">
        <f t="shared" si="2"/>
        <v>#VALUE!</v>
      </c>
      <c r="G55" s="97" t="s">
        <v>10</v>
      </c>
      <c r="H55" s="10"/>
      <c r="I55" s="16"/>
    </row>
    <row r="56" spans="1:9" x14ac:dyDescent="0.2">
      <c r="A56" s="94"/>
      <c r="B56" s="46" t="s">
        <v>63</v>
      </c>
      <c r="C56" s="76" t="e">
        <f>0.5*$E$25*$D$17*C55</f>
        <v>#VALUE!</v>
      </c>
      <c r="D56" s="43" t="s">
        <v>58</v>
      </c>
      <c r="E56" s="95" t="s">
        <v>59</v>
      </c>
      <c r="F56" s="96" t="e">
        <f t="shared" si="2"/>
        <v>#VALUE!</v>
      </c>
      <c r="G56" s="97" t="s">
        <v>10</v>
      </c>
      <c r="H56" s="10"/>
      <c r="I56" s="16"/>
    </row>
    <row r="57" spans="1:9" x14ac:dyDescent="0.2">
      <c r="A57" s="135"/>
      <c r="B57" s="136" t="s">
        <v>64</v>
      </c>
      <c r="C57" s="101" t="e">
        <f>C55+C56</f>
        <v>#VALUE!</v>
      </c>
      <c r="D57" s="137" t="s">
        <v>58</v>
      </c>
      <c r="E57" s="138" t="s">
        <v>59</v>
      </c>
      <c r="F57" s="104" t="e">
        <f t="shared" si="2"/>
        <v>#VALUE!</v>
      </c>
      <c r="G57" s="139" t="s">
        <v>10</v>
      </c>
      <c r="H57" s="10"/>
      <c r="I57" s="16"/>
    </row>
    <row r="58" spans="1:9" x14ac:dyDescent="0.2">
      <c r="A58" s="140"/>
      <c r="B58" s="141"/>
      <c r="C58" s="40"/>
      <c r="D58" s="142" t="s">
        <v>65</v>
      </c>
      <c r="E58" s="141"/>
      <c r="F58" s="70"/>
      <c r="G58" s="143"/>
      <c r="H58" s="10"/>
      <c r="I58" s="16"/>
    </row>
    <row r="59" spans="1:9" x14ac:dyDescent="0.2">
      <c r="A59" s="108"/>
      <c r="B59" s="5"/>
      <c r="C59" s="5"/>
      <c r="D59" s="109" t="str">
        <f>IF($D$10&lt;90,IF($D$9+$D$11&gt;90,"WARNING: BETA + LAMBDA &gt; 90, VALUES IN ERROR FOR N-FACING SLOPES",""),IF($D$10&gt;270,IF($D$9+$D$11&gt;90,"WARNING: BETA + LAMBDA &gt; 90, VALUES IN ERROR FOR N-FACING SLOPES",""),""))</f>
        <v/>
      </c>
      <c r="E59" s="5"/>
      <c r="F59" s="5"/>
      <c r="G59" s="93"/>
      <c r="H59" s="112"/>
      <c r="I59" s="16"/>
    </row>
    <row r="60" spans="1:9" x14ac:dyDescent="0.2">
      <c r="A60" s="88"/>
      <c r="B60" s="46" t="s">
        <v>53</v>
      </c>
      <c r="C60" s="76" t="str">
        <f>IF(ABS(-TAN($F$13)*TAN($F$9))&gt;1,IF( $F$13&lt;0,0,-12),"")</f>
        <v/>
      </c>
      <c r="D60" s="43" t="s">
        <v>54</v>
      </c>
      <c r="E60" s="90" t="s">
        <v>55</v>
      </c>
      <c r="F60" s="76" t="str">
        <f>IF(ABS(-TAN($F$13)*TAN($F$9))&gt;1,IF( $F$13&lt;0,0,12),"")</f>
        <v/>
      </c>
      <c r="G60" s="130" t="s">
        <v>54</v>
      </c>
      <c r="H60" s="10"/>
      <c r="I60" s="16"/>
    </row>
    <row r="61" spans="1:9" x14ac:dyDescent="0.2">
      <c r="A61" s="108"/>
      <c r="B61" s="5"/>
      <c r="C61" s="132" t="s">
        <v>56</v>
      </c>
      <c r="D61" s="133" t="e">
        <f>2*F60</f>
        <v>#VALUE!</v>
      </c>
      <c r="E61" s="134" t="s">
        <v>54</v>
      </c>
      <c r="F61" s="5"/>
      <c r="G61" s="93"/>
      <c r="H61" s="10"/>
      <c r="I61" s="16"/>
    </row>
    <row r="62" spans="1:9" x14ac:dyDescent="0.2">
      <c r="A62" s="131"/>
      <c r="B62" s="65"/>
      <c r="C62" s="144" t="s">
        <v>71</v>
      </c>
      <c r="D62" s="65"/>
      <c r="E62" s="65"/>
      <c r="F62" s="65"/>
      <c r="G62" s="130"/>
      <c r="H62" s="10"/>
      <c r="I62" s="16"/>
    </row>
    <row r="63" spans="1:9" x14ac:dyDescent="0.2">
      <c r="A63" s="94"/>
      <c r="B63" s="46" t="s">
        <v>57</v>
      </c>
      <c r="C63" s="76" t="e">
        <f>$C$6*$D$20*(COS($D$39)*COS($F$13)*((SIN(0.2618*$F$60+$D$38)-SIN(0.2618*$C$60+$D$38))/0.2618)+SIN($D$39)*SIN($F$13)*($F$60-$C$60))</f>
        <v>#VALUE!</v>
      </c>
      <c r="D63" s="43" t="s">
        <v>58</v>
      </c>
      <c r="E63" s="95" t="s">
        <v>59</v>
      </c>
      <c r="F63" s="96" t="e">
        <f t="shared" ref="F63:F68" si="3">C63*11.575</f>
        <v>#VALUE!</v>
      </c>
      <c r="G63" s="97" t="s">
        <v>10</v>
      </c>
      <c r="H63" s="10"/>
      <c r="I63" s="16"/>
    </row>
    <row r="64" spans="1:9" x14ac:dyDescent="0.2">
      <c r="A64" s="94"/>
      <c r="B64" s="46" t="s">
        <v>60</v>
      </c>
      <c r="C64" s="76" t="e">
        <f>$C$25*C63</f>
        <v>#VALUE!</v>
      </c>
      <c r="D64" s="43" t="s">
        <v>58</v>
      </c>
      <c r="E64" s="95" t="s">
        <v>59</v>
      </c>
      <c r="F64" s="96" t="e">
        <f t="shared" si="3"/>
        <v>#VALUE!</v>
      </c>
      <c r="G64" s="97" t="s">
        <v>10</v>
      </c>
      <c r="H64" s="10"/>
      <c r="I64" s="16"/>
    </row>
    <row r="65" spans="1:9" x14ac:dyDescent="0.2">
      <c r="A65" s="94"/>
      <c r="B65" s="41" t="s">
        <v>61</v>
      </c>
      <c r="C65" s="76" t="e">
        <f>C54</f>
        <v>#VALUE!</v>
      </c>
      <c r="D65" s="43" t="s">
        <v>58</v>
      </c>
      <c r="E65" s="95" t="s">
        <v>59</v>
      </c>
      <c r="F65" s="96" t="e">
        <f t="shared" si="3"/>
        <v>#VALUE!</v>
      </c>
      <c r="G65" s="97" t="s">
        <v>10</v>
      </c>
      <c r="H65" s="10"/>
      <c r="I65" s="16"/>
    </row>
    <row r="66" spans="1:9" x14ac:dyDescent="0.2">
      <c r="A66" s="94"/>
      <c r="B66" s="46" t="s">
        <v>62</v>
      </c>
      <c r="C66" s="76" t="e">
        <f>C64+C65</f>
        <v>#VALUE!</v>
      </c>
      <c r="D66" s="43" t="s">
        <v>58</v>
      </c>
      <c r="E66" s="95" t="s">
        <v>59</v>
      </c>
      <c r="F66" s="96" t="e">
        <f t="shared" si="3"/>
        <v>#VALUE!</v>
      </c>
      <c r="G66" s="97" t="s">
        <v>10</v>
      </c>
      <c r="H66" s="10"/>
      <c r="I66" s="16"/>
    </row>
    <row r="67" spans="1:9" x14ac:dyDescent="0.2">
      <c r="A67" s="94"/>
      <c r="B67" s="46" t="s">
        <v>63</v>
      </c>
      <c r="C67" s="76" t="e">
        <f>C56</f>
        <v>#VALUE!</v>
      </c>
      <c r="D67" s="43" t="s">
        <v>58</v>
      </c>
      <c r="E67" s="95" t="s">
        <v>59</v>
      </c>
      <c r="F67" s="96" t="e">
        <f t="shared" si="3"/>
        <v>#VALUE!</v>
      </c>
      <c r="G67" s="97" t="s">
        <v>10</v>
      </c>
      <c r="H67" s="10"/>
      <c r="I67" s="16"/>
    </row>
    <row r="68" spans="1:9" ht="13.5" thickBot="1" x14ac:dyDescent="0.25">
      <c r="A68" s="119"/>
      <c r="B68" s="120" t="s">
        <v>64</v>
      </c>
      <c r="C68" s="121" t="e">
        <f>C66+C67</f>
        <v>#VALUE!</v>
      </c>
      <c r="D68" s="122" t="s">
        <v>58</v>
      </c>
      <c r="E68" s="123" t="s">
        <v>59</v>
      </c>
      <c r="F68" s="124" t="e">
        <f t="shared" si="3"/>
        <v>#VALUE!</v>
      </c>
      <c r="G68" s="125" t="s">
        <v>10</v>
      </c>
      <c r="H68" s="16"/>
      <c r="I68" s="16"/>
    </row>
    <row r="69" spans="1:9" x14ac:dyDescent="0.2">
      <c r="I69" s="16"/>
    </row>
    <row r="70" spans="1:9" x14ac:dyDescent="0.2">
      <c r="I70" s="16" t="s">
        <v>150</v>
      </c>
    </row>
    <row r="71" spans="1:9" x14ac:dyDescent="0.2">
      <c r="I71" s="16"/>
    </row>
    <row r="72" spans="1:9" x14ac:dyDescent="0.2">
      <c r="I72" s="16"/>
    </row>
    <row r="73" spans="1:9" x14ac:dyDescent="0.2">
      <c r="I73" s="16"/>
    </row>
    <row r="74" spans="1:9" x14ac:dyDescent="0.2">
      <c r="A74" s="16"/>
      <c r="B74" s="16"/>
      <c r="C74" s="16"/>
      <c r="D74" s="16"/>
      <c r="E74" s="16"/>
      <c r="F74" s="16"/>
      <c r="G74" s="16"/>
      <c r="I74" s="16"/>
    </row>
    <row r="75" spans="1:9" x14ac:dyDescent="0.2">
      <c r="A75" s="16"/>
      <c r="B75" s="16"/>
      <c r="C75" s="16"/>
      <c r="D75" s="16"/>
      <c r="E75" s="16"/>
      <c r="F75" s="16"/>
      <c r="G75" s="16"/>
      <c r="H75" s="16"/>
      <c r="I75" s="16"/>
    </row>
    <row r="76" spans="1:9" x14ac:dyDescent="0.2">
      <c r="H76" s="16"/>
      <c r="I76" s="16"/>
    </row>
    <row r="77" spans="1:9" x14ac:dyDescent="0.2">
      <c r="A77" s="16"/>
      <c r="B77" s="16"/>
      <c r="C77" s="16"/>
      <c r="D77" s="16"/>
      <c r="E77" s="16"/>
      <c r="F77" s="16"/>
      <c r="G77" s="16"/>
      <c r="H77" s="16"/>
      <c r="I77" s="16"/>
    </row>
    <row r="78" spans="1:9" x14ac:dyDescent="0.2">
      <c r="A78" s="16"/>
      <c r="B78" s="16"/>
      <c r="C78" s="16"/>
      <c r="D78" s="16"/>
      <c r="E78" s="16"/>
      <c r="F78" s="16"/>
      <c r="G78" s="16"/>
      <c r="H78" s="16"/>
      <c r="I78" s="16"/>
    </row>
    <row r="79" spans="1:9" x14ac:dyDescent="0.2">
      <c r="A79" s="16"/>
      <c r="B79" s="16"/>
      <c r="C79" s="16"/>
      <c r="D79" s="16"/>
      <c r="E79" s="16"/>
      <c r="F79" s="16"/>
      <c r="G79" s="16"/>
      <c r="H79" s="16"/>
      <c r="I79" s="16"/>
    </row>
    <row r="80" spans="1:9" x14ac:dyDescent="0.2">
      <c r="A80" s="16"/>
      <c r="B80" s="16"/>
      <c r="C80" s="16"/>
      <c r="D80" s="16"/>
      <c r="E80" s="16"/>
      <c r="F80" s="16"/>
      <c r="G80" s="16"/>
      <c r="H80" s="16"/>
      <c r="I80" s="16"/>
    </row>
    <row r="81" spans="1:9" x14ac:dyDescent="0.2">
      <c r="A81" s="16"/>
      <c r="B81" s="16"/>
      <c r="C81" s="16"/>
      <c r="D81" s="16"/>
      <c r="E81" s="16"/>
      <c r="F81" s="16"/>
      <c r="G81" s="16"/>
      <c r="H81" s="16"/>
      <c r="I81" s="16"/>
    </row>
    <row r="82" spans="1:9" x14ac:dyDescent="0.2">
      <c r="A82" s="16"/>
      <c r="B82" s="16"/>
      <c r="C82" s="16"/>
      <c r="D82" s="16"/>
      <c r="E82" s="16"/>
      <c r="F82" s="16"/>
      <c r="G82" s="16"/>
      <c r="H82" s="16"/>
      <c r="I82" s="16"/>
    </row>
    <row r="83" spans="1:9" x14ac:dyDescent="0.2">
      <c r="A83" s="16"/>
      <c r="B83" s="16"/>
      <c r="C83" s="16"/>
      <c r="D83" s="16"/>
      <c r="E83" s="16"/>
      <c r="F83" s="16"/>
      <c r="G83" s="16"/>
      <c r="H83" s="16"/>
      <c r="I83" s="16"/>
    </row>
    <row r="84" spans="1:9" x14ac:dyDescent="0.2">
      <c r="A84" s="16"/>
      <c r="B84" s="16"/>
      <c r="C84" s="16"/>
      <c r="D84" s="16"/>
      <c r="E84" s="16"/>
      <c r="F84" s="16"/>
      <c r="G84" s="16"/>
      <c r="H84" s="16"/>
      <c r="I84" s="16"/>
    </row>
    <row r="85" spans="1:9" x14ac:dyDescent="0.2">
      <c r="A85" s="16"/>
      <c r="B85" s="16"/>
      <c r="C85" s="16"/>
      <c r="D85" s="16"/>
      <c r="E85" s="16"/>
      <c r="F85" s="16"/>
      <c r="G85" s="16"/>
      <c r="H85" s="16"/>
      <c r="I85" s="16"/>
    </row>
    <row r="86" spans="1:9" x14ac:dyDescent="0.2">
      <c r="A86" s="16"/>
      <c r="B86" s="16"/>
      <c r="C86" s="16"/>
      <c r="D86" s="16"/>
      <c r="E86" s="16"/>
      <c r="F86" s="16"/>
      <c r="G86" s="16"/>
      <c r="H86" s="16"/>
      <c r="I86" s="16"/>
    </row>
    <row r="87" spans="1:9" x14ac:dyDescent="0.2">
      <c r="A87" s="16"/>
      <c r="B87" s="16"/>
      <c r="C87" s="16"/>
      <c r="D87" s="16"/>
      <c r="E87" s="16"/>
      <c r="F87" s="16"/>
      <c r="G87" s="16"/>
      <c r="H87" s="16"/>
      <c r="I87" s="16"/>
    </row>
    <row r="88" spans="1:9" x14ac:dyDescent="0.2">
      <c r="A88" s="16"/>
      <c r="B88" s="16"/>
      <c r="C88" s="16"/>
      <c r="D88" s="16"/>
      <c r="E88" s="16"/>
      <c r="F88" s="16"/>
      <c r="G88" s="16"/>
      <c r="H88" s="16"/>
      <c r="I88" s="16"/>
    </row>
    <row r="89" spans="1:9" x14ac:dyDescent="0.2">
      <c r="A89" s="16"/>
      <c r="B89" s="16"/>
      <c r="C89" s="16"/>
      <c r="D89" s="16"/>
      <c r="E89" s="16"/>
      <c r="F89" s="16"/>
      <c r="G89" s="16"/>
      <c r="H89" s="16"/>
      <c r="I89" s="16"/>
    </row>
    <row r="90" spans="1:9" x14ac:dyDescent="0.2">
      <c r="A90" s="16"/>
      <c r="B90" s="16"/>
      <c r="C90" s="16"/>
      <c r="D90" s="16"/>
      <c r="E90" s="16"/>
      <c r="F90" s="16"/>
      <c r="G90" s="16"/>
      <c r="H90" s="16"/>
      <c r="I90" s="16"/>
    </row>
    <row r="91" spans="1:9" x14ac:dyDescent="0.2">
      <c r="A91" s="16"/>
      <c r="B91" s="16"/>
      <c r="C91" s="16"/>
      <c r="D91" s="16"/>
      <c r="E91" s="16"/>
      <c r="F91" s="16"/>
      <c r="G91" s="16"/>
      <c r="H91" s="16"/>
      <c r="I91" s="16"/>
    </row>
    <row r="92" spans="1:9" x14ac:dyDescent="0.2">
      <c r="A92" s="16"/>
      <c r="B92" s="16"/>
      <c r="C92" s="16"/>
      <c r="D92" s="16"/>
      <c r="E92" s="16"/>
      <c r="F92" s="16"/>
      <c r="G92" s="16"/>
      <c r="H92" s="16"/>
      <c r="I92" s="16"/>
    </row>
    <row r="93" spans="1:9" x14ac:dyDescent="0.2">
      <c r="A93" s="16"/>
      <c r="B93" s="16"/>
      <c r="C93" s="16"/>
      <c r="D93" s="16"/>
      <c r="E93" s="16"/>
      <c r="F93" s="16"/>
      <c r="G93" s="16"/>
      <c r="H93" s="16"/>
      <c r="I93" s="16"/>
    </row>
    <row r="94" spans="1:9" x14ac:dyDescent="0.2">
      <c r="A94" s="16"/>
      <c r="B94" s="16"/>
      <c r="C94" s="16"/>
      <c r="D94" s="16"/>
      <c r="E94" s="16"/>
      <c r="F94" s="16"/>
      <c r="G94" s="16"/>
      <c r="H94" s="16"/>
      <c r="I94" s="16"/>
    </row>
    <row r="95" spans="1:9" x14ac:dyDescent="0.2">
      <c r="A95" s="16"/>
      <c r="B95" s="16"/>
      <c r="C95" s="16"/>
      <c r="D95" s="16"/>
      <c r="E95" s="16"/>
      <c r="F95" s="16"/>
      <c r="G95" s="16"/>
      <c r="H95" s="16"/>
      <c r="I95" s="16"/>
    </row>
    <row r="96" spans="1:9" x14ac:dyDescent="0.2">
      <c r="A96" s="16"/>
      <c r="B96" s="16"/>
      <c r="C96" s="16"/>
      <c r="D96" s="16"/>
      <c r="E96" s="16"/>
      <c r="F96" s="16"/>
      <c r="G96" s="16"/>
      <c r="H96" s="16"/>
      <c r="I96" s="16"/>
    </row>
  </sheetData>
  <phoneticPr fontId="16" type="noConversion"/>
  <pageMargins left="0.75" right="0.75" top="1" bottom="1" header="0.5" footer="0.5"/>
  <pageSetup scale="74"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32"/>
  <sheetViews>
    <sheetView topLeftCell="A88" zoomScaleNormal="100" workbookViewId="0">
      <selection activeCell="P114" sqref="P114"/>
    </sheetView>
  </sheetViews>
  <sheetFormatPr defaultColWidth="8.85546875" defaultRowHeight="12.75" x14ac:dyDescent="0.2"/>
  <cols>
    <col min="1" max="1" width="17.28515625" style="10" customWidth="1"/>
    <col min="2" max="2" width="12.42578125" style="10" bestFit="1" customWidth="1"/>
    <col min="3" max="3" width="9" style="10" bestFit="1" customWidth="1"/>
    <col min="4" max="4" width="10.7109375" style="10" bestFit="1" customWidth="1"/>
    <col min="5" max="5" width="10.28515625" style="10" customWidth="1"/>
    <col min="6" max="6" width="9" style="10" bestFit="1" customWidth="1"/>
    <col min="7" max="7" width="11.5703125" style="10" customWidth="1"/>
    <col min="8" max="8" width="12.28515625" style="10" bestFit="1" customWidth="1"/>
    <col min="9" max="16384" width="8.85546875" style="10"/>
  </cols>
  <sheetData>
    <row r="1" spans="1:6" x14ac:dyDescent="0.2">
      <c r="A1" s="10" t="s">
        <v>108</v>
      </c>
    </row>
    <row r="2" spans="1:6" x14ac:dyDescent="0.2">
      <c r="A2" s="10" t="s">
        <v>120</v>
      </c>
    </row>
    <row r="3" spans="1:6" x14ac:dyDescent="0.2">
      <c r="A3" s="146"/>
    </row>
    <row r="4" spans="1:6" x14ac:dyDescent="0.2">
      <c r="A4" s="147" t="s">
        <v>78</v>
      </c>
      <c r="B4" s="148">
        <f>SOLARRAD!D9</f>
        <v>41</v>
      </c>
      <c r="C4" s="10" t="s">
        <v>80</v>
      </c>
      <c r="D4" s="10">
        <f>PI()/180*B4</f>
        <v>0.71558499331767511</v>
      </c>
      <c r="E4" s="10" t="s">
        <v>88</v>
      </c>
    </row>
    <row r="5" spans="1:6" x14ac:dyDescent="0.2">
      <c r="A5" s="147" t="s">
        <v>73</v>
      </c>
      <c r="B5" s="148">
        <f>SOLARRAD!D11</f>
        <v>20</v>
      </c>
      <c r="C5" s="10" t="s">
        <v>80</v>
      </c>
      <c r="D5" s="10">
        <f>PI()/180*B5</f>
        <v>0.3490658503988659</v>
      </c>
      <c r="E5" s="10" t="s">
        <v>88</v>
      </c>
    </row>
    <row r="6" spans="1:6" x14ac:dyDescent="0.2">
      <c r="A6" s="147" t="s">
        <v>79</v>
      </c>
      <c r="B6" s="148">
        <f>SOLARRAD!D10</f>
        <v>70</v>
      </c>
      <c r="C6" s="10" t="s">
        <v>80</v>
      </c>
      <c r="D6" s="10">
        <f>PI()/180*B6</f>
        <v>1.2217304763960306</v>
      </c>
      <c r="E6" s="10" t="s">
        <v>88</v>
      </c>
    </row>
    <row r="7" spans="1:6" x14ac:dyDescent="0.2">
      <c r="A7" s="147" t="s">
        <v>85</v>
      </c>
      <c r="B7" s="148">
        <v>-1</v>
      </c>
      <c r="C7" s="10" t="s">
        <v>86</v>
      </c>
    </row>
    <row r="8" spans="1:6" x14ac:dyDescent="0.2">
      <c r="A8" s="147" t="s">
        <v>81</v>
      </c>
      <c r="B8" s="149">
        <f>SOLARRAD!F12</f>
        <v>325</v>
      </c>
      <c r="C8" s="65"/>
    </row>
    <row r="9" spans="1:6" x14ac:dyDescent="0.2">
      <c r="A9" s="147" t="s">
        <v>115</v>
      </c>
      <c r="B9" s="148">
        <v>118.10400000000001</v>
      </c>
      <c r="C9" s="163" t="s">
        <v>9</v>
      </c>
    </row>
    <row r="10" spans="1:6" x14ac:dyDescent="0.2">
      <c r="A10" s="147" t="s">
        <v>72</v>
      </c>
      <c r="B10" s="162">
        <f>SOLARRAD!D20</f>
        <v>1.0253634812883303</v>
      </c>
      <c r="C10" s="10" t="s">
        <v>114</v>
      </c>
    </row>
    <row r="11" spans="1:6" x14ac:dyDescent="0.2">
      <c r="A11" s="147" t="s">
        <v>116</v>
      </c>
      <c r="B11" s="164">
        <f>PI()/12</f>
        <v>0.26179938779914941</v>
      </c>
      <c r="C11" s="10" t="s">
        <v>117</v>
      </c>
    </row>
    <row r="12" spans="1:6" x14ac:dyDescent="0.2">
      <c r="A12" s="147"/>
      <c r="B12" s="149"/>
    </row>
    <row r="13" spans="1:6" x14ac:dyDescent="0.2">
      <c r="A13" s="150" t="s">
        <v>121</v>
      </c>
    </row>
    <row r="14" spans="1:6" x14ac:dyDescent="0.2">
      <c r="A14" s="147" t="s">
        <v>91</v>
      </c>
      <c r="B14" s="159">
        <f>SOLARRAD!D39</f>
        <v>0.78211027950207079</v>
      </c>
      <c r="C14" s="159" t="s">
        <v>67</v>
      </c>
      <c r="D14" s="161">
        <f>SOLARRAD!F39</f>
        <v>44.811618129265838</v>
      </c>
      <c r="E14" s="159" t="s">
        <v>41</v>
      </c>
      <c r="F14" s="159" t="s">
        <v>110</v>
      </c>
    </row>
    <row r="15" spans="1:6" x14ac:dyDescent="0.2">
      <c r="A15" s="10" t="s">
        <v>111</v>
      </c>
      <c r="B15" s="159">
        <f>SOLARRAD!D38</f>
        <v>0.47016390418205611</v>
      </c>
      <c r="C15" s="159" t="s">
        <v>67</v>
      </c>
      <c r="D15" s="161">
        <f>SOLARRAD!F38</f>
        <v>26.938407389025048</v>
      </c>
      <c r="E15" s="10" t="s">
        <v>41</v>
      </c>
      <c r="F15" s="10" t="s">
        <v>112</v>
      </c>
    </row>
    <row r="16" spans="1:6" x14ac:dyDescent="0.2">
      <c r="A16" s="147" t="s">
        <v>113</v>
      </c>
      <c r="B16" s="160">
        <f>B7+D15/15</f>
        <v>0.79589382593500324</v>
      </c>
      <c r="D16" s="10" t="s">
        <v>119</v>
      </c>
    </row>
    <row r="17" spans="1:8" x14ac:dyDescent="0.2">
      <c r="A17" s="154" t="s">
        <v>155</v>
      </c>
      <c r="B17" s="1">
        <f>B9*B10*(COS(SOLARRAD!F13)*COS(DirectApproach!B14)*COS(DirectApproach!B16*B11)+SIN(SOLARRAD!F13)*SIN(DirectApproach!B14))</f>
        <v>50.25138383455144</v>
      </c>
      <c r="C17" s="167" t="s">
        <v>9</v>
      </c>
      <c r="D17" s="10" t="s">
        <v>118</v>
      </c>
    </row>
    <row r="19" spans="1:8" x14ac:dyDescent="0.2">
      <c r="A19" s="150" t="s">
        <v>122</v>
      </c>
    </row>
    <row r="20" spans="1:8" x14ac:dyDescent="0.2">
      <c r="A20" s="147" t="s">
        <v>107</v>
      </c>
      <c r="B20" s="159">
        <f>ACOS(SIN($D$4)*SIN(SOLARRAD!$F$13)+COS(DirectApproach!$D$4)*COS(SOLARRAD!$F$13)*COS(DirectApproach!$B$11*DirectApproach!B7))</f>
        <v>1.0879700316521261</v>
      </c>
      <c r="C20" s="10" t="s">
        <v>19</v>
      </c>
      <c r="D20" s="161" t="s">
        <v>84</v>
      </c>
      <c r="E20" s="161"/>
      <c r="F20" s="161">
        <f>B20*180/PI()</f>
        <v>62.336091050381413</v>
      </c>
      <c r="G20" s="161" t="s">
        <v>80</v>
      </c>
    </row>
    <row r="21" spans="1:8" x14ac:dyDescent="0.2">
      <c r="A21" s="147" t="s">
        <v>82</v>
      </c>
      <c r="B21" s="159">
        <f>(SIN(SOLARRAD!$F$13)-SIN($D$4)*COS(B20))/(COS($D$4)*SIN(B20))</f>
        <v>-0.96143872773416739</v>
      </c>
      <c r="C21" s="10" t="s">
        <v>19</v>
      </c>
      <c r="D21" s="161" t="s">
        <v>83</v>
      </c>
      <c r="E21" s="161"/>
      <c r="F21" s="161"/>
      <c r="G21" s="161"/>
    </row>
    <row r="22" spans="1:8" ht="28.15" customHeight="1" x14ac:dyDescent="0.2">
      <c r="A22" s="169" t="s">
        <v>1</v>
      </c>
      <c r="B22" s="172">
        <f>ACOS(B21)</f>
        <v>2.8629829576521835</v>
      </c>
      <c r="C22" s="166" t="s">
        <v>19</v>
      </c>
      <c r="D22" s="186" t="s">
        <v>123</v>
      </c>
      <c r="E22" s="186"/>
      <c r="F22" s="186"/>
      <c r="G22" s="186"/>
      <c r="H22" s="159">
        <f>B22*180/PI()</f>
        <v>164.03684029135181</v>
      </c>
    </row>
    <row r="23" spans="1:8" x14ac:dyDescent="0.2">
      <c r="A23" s="154" t="s">
        <v>89</v>
      </c>
      <c r="B23" s="168">
        <f>COS(B20)*COS($D$5)+SIN(B20)*SIN($D$5)*COS(B22-$D$6)</f>
        <v>0.41495936786833415</v>
      </c>
      <c r="D23" s="161" t="s">
        <v>93</v>
      </c>
      <c r="E23" s="161"/>
      <c r="F23" s="161"/>
      <c r="G23" s="161"/>
    </row>
    <row r="24" spans="1:8" x14ac:dyDescent="0.2">
      <c r="A24" s="147" t="s">
        <v>124</v>
      </c>
      <c r="B24" s="159">
        <f>ACOS(B23)</f>
        <v>1.1428981828251716</v>
      </c>
      <c r="C24" s="10" t="s">
        <v>19</v>
      </c>
      <c r="D24" s="161"/>
      <c r="E24" s="161"/>
      <c r="F24" s="161">
        <f>B24*180/PI()</f>
        <v>65.483242289053493</v>
      </c>
      <c r="G24" s="161" t="s">
        <v>80</v>
      </c>
    </row>
    <row r="25" spans="1:8" ht="25.5" x14ac:dyDescent="0.2">
      <c r="A25" s="151" t="s">
        <v>90</v>
      </c>
      <c r="B25" s="171">
        <f>B23*B9*B10</f>
        <v>50.25138383455144</v>
      </c>
      <c r="C25" s="167" t="s">
        <v>9</v>
      </c>
    </row>
    <row r="26" spans="1:8" x14ac:dyDescent="0.2">
      <c r="A26" s="170" t="s">
        <v>130</v>
      </c>
      <c r="B26" s="171"/>
      <c r="C26" s="167"/>
    </row>
    <row r="28" spans="1:8" x14ac:dyDescent="0.2">
      <c r="A28" s="10" t="s">
        <v>125</v>
      </c>
    </row>
    <row r="29" spans="1:8" x14ac:dyDescent="0.2">
      <c r="A29" s="147" t="s">
        <v>92</v>
      </c>
      <c r="B29" s="162">
        <f>SOLARRAD!F40</f>
        <v>2.8102798480306705</v>
      </c>
      <c r="C29" s="10" t="s">
        <v>54</v>
      </c>
      <c r="D29" s="10" t="s">
        <v>126</v>
      </c>
    </row>
    <row r="30" spans="1:8" x14ac:dyDescent="0.2">
      <c r="A30" s="147" t="s">
        <v>107</v>
      </c>
      <c r="B30" s="159">
        <f>ACOS(SIN($D$4)*SIN(SOLARRAD!$F$13)+COS(DirectApproach!$D$4)*COS(SOLARRAD!$F$13)*COS(DirectApproach!$B$11*B29))</f>
        <v>1.2611020574793317</v>
      </c>
      <c r="C30" s="10" t="s">
        <v>19</v>
      </c>
      <c r="D30" s="161" t="s">
        <v>84</v>
      </c>
      <c r="E30" s="161"/>
      <c r="F30" s="161">
        <f>B30*180/PI()</f>
        <v>72.255825428830263</v>
      </c>
      <c r="G30" s="161" t="s">
        <v>80</v>
      </c>
    </row>
    <row r="31" spans="1:8" x14ac:dyDescent="0.2">
      <c r="A31" s="147" t="s">
        <v>82</v>
      </c>
      <c r="B31" s="159">
        <f>(SIN(SOLARRAD!$F$13)-SIN($D$4)*COS(B30))/(COS($D$4)*SIN(B30))</f>
        <v>-0.74847459180569231</v>
      </c>
      <c r="C31" s="10" t="s">
        <v>19</v>
      </c>
      <c r="D31" s="161" t="s">
        <v>83</v>
      </c>
      <c r="E31" s="161"/>
      <c r="F31" s="161"/>
      <c r="G31" s="161"/>
    </row>
    <row r="32" spans="1:8" ht="12.75" customHeight="1" x14ac:dyDescent="0.2">
      <c r="A32" s="165" t="s">
        <v>1</v>
      </c>
      <c r="B32" s="173">
        <f>ACOS(B31)</f>
        <v>2.4165552108078252</v>
      </c>
      <c r="C32" s="166" t="s">
        <v>19</v>
      </c>
      <c r="D32" s="181" t="s">
        <v>127</v>
      </c>
      <c r="E32" s="181"/>
      <c r="F32" s="181"/>
      <c r="G32" s="181"/>
    </row>
    <row r="33" spans="1:9" x14ac:dyDescent="0.2">
      <c r="A33" s="147" t="s">
        <v>128</v>
      </c>
      <c r="B33" s="159">
        <f>-B32</f>
        <v>-2.4165552108078252</v>
      </c>
      <c r="C33" s="166" t="s">
        <v>19</v>
      </c>
      <c r="D33" s="161"/>
      <c r="E33" s="161"/>
      <c r="F33" s="161">
        <f>B33*180/PI()</f>
        <v>-138.45841453963533</v>
      </c>
      <c r="G33" s="161" t="s">
        <v>80</v>
      </c>
    </row>
    <row r="34" spans="1:9" x14ac:dyDescent="0.2">
      <c r="A34" s="154" t="s">
        <v>89</v>
      </c>
      <c r="B34" s="2">
        <f>COS(B30)*COS($D$5)+SIN(B30)*SIN($D$5)*COS(B33-$D$6)</f>
        <v>1.0730479478859856E-6</v>
      </c>
      <c r="D34" s="161" t="s">
        <v>93</v>
      </c>
    </row>
    <row r="35" spans="1:9" ht="15.6" customHeight="1" x14ac:dyDescent="0.2">
      <c r="A35" s="166" t="s">
        <v>129</v>
      </c>
      <c r="B35" s="166"/>
      <c r="C35" s="166"/>
      <c r="D35" s="166"/>
      <c r="E35" s="166"/>
      <c r="F35" s="166"/>
      <c r="G35" s="166"/>
    </row>
    <row r="36" spans="1:9" x14ac:dyDescent="0.2">
      <c r="A36" s="150"/>
    </row>
    <row r="38" spans="1:9" x14ac:dyDescent="0.2">
      <c r="A38" s="10" t="s">
        <v>94</v>
      </c>
    </row>
    <row r="39" spans="1:9" x14ac:dyDescent="0.2">
      <c r="A39" s="10" t="s">
        <v>131</v>
      </c>
    </row>
    <row r="40" spans="1:9" x14ac:dyDescent="0.2">
      <c r="B40" s="10" t="s">
        <v>75</v>
      </c>
      <c r="C40" s="159">
        <f>SOLARRAD!C28</f>
        <v>-4.7869662085346247</v>
      </c>
      <c r="D40" s="159" t="s">
        <v>95</v>
      </c>
      <c r="E40" s="159" t="s">
        <v>76</v>
      </c>
      <c r="F40" s="159">
        <f>SOLARRAD!F28</f>
        <v>4.7869662085346247</v>
      </c>
      <c r="G40" s="10" t="s">
        <v>77</v>
      </c>
    </row>
    <row r="42" spans="1:9" ht="41.25" customHeight="1" x14ac:dyDescent="0.2">
      <c r="A42" s="185" t="s">
        <v>109</v>
      </c>
      <c r="B42" s="185"/>
      <c r="C42" s="185"/>
      <c r="D42" s="185"/>
      <c r="E42" s="185"/>
      <c r="F42" s="185"/>
      <c r="G42" s="185"/>
      <c r="H42" s="185"/>
      <c r="I42" s="185"/>
    </row>
    <row r="43" spans="1:9" ht="41.25" customHeight="1" x14ac:dyDescent="0.2">
      <c r="A43" s="155"/>
      <c r="B43" s="155"/>
      <c r="C43" s="155"/>
      <c r="D43" s="155"/>
      <c r="E43" s="155"/>
      <c r="F43" s="155"/>
      <c r="G43" s="155"/>
      <c r="H43" s="155"/>
      <c r="I43" s="155"/>
    </row>
    <row r="71" spans="1:16" x14ac:dyDescent="0.2">
      <c r="A71" s="147" t="s">
        <v>74</v>
      </c>
      <c r="B71" s="10">
        <v>5</v>
      </c>
      <c r="C71" s="10" t="s">
        <v>99</v>
      </c>
    </row>
    <row r="72" spans="1:16" x14ac:dyDescent="0.2">
      <c r="A72" s="147" t="s">
        <v>100</v>
      </c>
      <c r="B72" s="10">
        <v>1.5</v>
      </c>
      <c r="C72" s="10" t="s">
        <v>99</v>
      </c>
      <c r="G72" s="10" t="s">
        <v>135</v>
      </c>
    </row>
    <row r="73" spans="1:16" x14ac:dyDescent="0.2">
      <c r="A73" s="147" t="s">
        <v>96</v>
      </c>
      <c r="B73" s="147" t="s">
        <v>87</v>
      </c>
      <c r="C73" s="145" t="s">
        <v>97</v>
      </c>
      <c r="D73" s="147" t="s">
        <v>1</v>
      </c>
      <c r="E73" s="147" t="s">
        <v>98</v>
      </c>
      <c r="F73" s="147" t="s">
        <v>77</v>
      </c>
      <c r="G73" s="174" t="s">
        <v>132</v>
      </c>
      <c r="H73" s="10" t="s">
        <v>89</v>
      </c>
    </row>
    <row r="74" spans="1:16" x14ac:dyDescent="0.2">
      <c r="A74" s="147" t="s">
        <v>54</v>
      </c>
      <c r="B74" s="147" t="s">
        <v>88</v>
      </c>
      <c r="C74" s="147" t="s">
        <v>88</v>
      </c>
      <c r="D74" s="147" t="s">
        <v>88</v>
      </c>
      <c r="E74" s="147" t="s">
        <v>99</v>
      </c>
      <c r="F74" s="147" t="s">
        <v>88</v>
      </c>
      <c r="G74" s="10" t="s">
        <v>88</v>
      </c>
    </row>
    <row r="75" spans="1:16" x14ac:dyDescent="0.2">
      <c r="A75" s="147">
        <v>-5.5</v>
      </c>
      <c r="B75" s="147">
        <f>PI()/12*A75</f>
        <v>-1.4398966328953218</v>
      </c>
      <c r="C75" s="10">
        <f>ACOS(SIN($D$4)*SIN(SOLARRAD!$F$13)+COS($D$4)*COS(SOLARRAD!$F$13)*COS(B75))</f>
        <v>1.7002368027257106</v>
      </c>
      <c r="D75" s="10">
        <f>ACOS((SIN(SOLARRAD!$F$13)-SIN($D$4)*COS(C75))/(COS($D$4)*SIN(C75)))</f>
        <v>1.9161848892287558</v>
      </c>
      <c r="E75" s="118">
        <f t="shared" ref="E75:E86" si="0">$B$71/COS(D75-PI()/2)</f>
        <v>5.3138126752162416</v>
      </c>
      <c r="F75" s="147">
        <f>ATAN($B$72/E75)</f>
        <v>0.2751246481864385</v>
      </c>
      <c r="G75" s="10">
        <f>PI()/2-C75</f>
        <v>-0.12944047593081409</v>
      </c>
      <c r="H75" s="10">
        <f t="shared" ref="H75:H78" si="1">COS(C75)*COS($D$5)+SIN(C75)*SIN($D$5)*COS(D75-$D$6)</f>
        <v>0.13931581990823749</v>
      </c>
    </row>
    <row r="76" spans="1:16" x14ac:dyDescent="0.2">
      <c r="A76" s="147">
        <f>A75+0.5</f>
        <v>-5</v>
      </c>
      <c r="B76" s="147">
        <f t="shared" ref="B76:B101" si="2">PI()/12*A76</f>
        <v>-1.308996938995747</v>
      </c>
      <c r="C76" s="10">
        <f>ACOS(SIN($D$4)*SIN(SOLARRAD!$F$13)+COS($D$4)*COS(SOLARRAD!$F$13)*COS(B76))</f>
        <v>1.6087615473453314</v>
      </c>
      <c r="D76" s="10">
        <f>ACOS((SIN(SOLARRAD!$F$13)-SIN($D$4)*COS(C76))/(COS($D$4)*SIN(C76)))</f>
        <v>1.9990044982236603</v>
      </c>
      <c r="E76" s="118">
        <f t="shared" si="0"/>
        <v>5.496249490075912</v>
      </c>
      <c r="F76" s="147">
        <f t="shared" ref="F76:F97" si="3">ATAN($B$72/E76)</f>
        <v>0.26642525954415658</v>
      </c>
      <c r="G76" s="10">
        <f t="shared" ref="G76:G87" si="4">PI()/2-C76</f>
        <v>-3.7965220550434831E-2</v>
      </c>
      <c r="H76" s="10">
        <f t="shared" si="1"/>
        <v>0.20795879155651831</v>
      </c>
    </row>
    <row r="77" spans="1:16" x14ac:dyDescent="0.2">
      <c r="A77" s="147">
        <f t="shared" ref="A77:A97" si="5">A76+0.5</f>
        <v>-4.5</v>
      </c>
      <c r="B77" s="147">
        <f t="shared" si="2"/>
        <v>-1.1780972450961724</v>
      </c>
      <c r="C77" s="10">
        <f>ACOS(SIN($D$4)*SIN(SOLARRAD!$F$13)+COS($D$4)*COS(SOLARRAD!$F$13)*COS(B77))</f>
        <v>1.5207537539806899</v>
      </c>
      <c r="D77" s="10">
        <f>ACOS((SIN(SOLARRAD!$F$13)-SIN($D$4)*COS(C77))/(COS($D$4)*SIN(C77)))</f>
        <v>2.0852233305267269</v>
      </c>
      <c r="E77" s="118">
        <f t="shared" si="0"/>
        <v>5.7433318765356871</v>
      </c>
      <c r="F77" s="147">
        <f t="shared" si="3"/>
        <v>0.25546594621543089</v>
      </c>
      <c r="G77" s="10">
        <f t="shared" si="4"/>
        <v>5.0042572814206654E-2</v>
      </c>
      <c r="H77" s="10">
        <f t="shared" si="1"/>
        <v>0.26896685483143923</v>
      </c>
    </row>
    <row r="78" spans="1:16" x14ac:dyDescent="0.2">
      <c r="A78" s="147">
        <f t="shared" si="5"/>
        <v>-4</v>
      </c>
      <c r="B78" s="147">
        <f t="shared" si="2"/>
        <v>-1.0471975511965976</v>
      </c>
      <c r="C78" s="10">
        <f>ACOS(SIN($D$4)*SIN(SOLARRAD!$F$13)+COS($D$4)*COS(SOLARRAD!$F$13)*COS(B78))</f>
        <v>1.4370492066279854</v>
      </c>
      <c r="D78" s="10">
        <f>ACOS((SIN(SOLARRAD!$F$13)-SIN($D$4)*COS(C78))/(COS($D$4)*SIN(C78)))</f>
        <v>2.1760081460847287</v>
      </c>
      <c r="E78" s="118">
        <f t="shared" si="0"/>
        <v>6.0799025333660532</v>
      </c>
      <c r="F78" s="147">
        <f t="shared" si="3"/>
        <v>0.24188402777476059</v>
      </c>
      <c r="G78" s="10">
        <f t="shared" si="4"/>
        <v>0.13374712016691115</v>
      </c>
      <c r="H78" s="10">
        <f t="shared" si="1"/>
        <v>0.32129614485573565</v>
      </c>
    </row>
    <row r="79" spans="1:16" x14ac:dyDescent="0.2">
      <c r="A79" s="182">
        <f t="shared" si="5"/>
        <v>-3.5</v>
      </c>
      <c r="B79" s="182">
        <f t="shared" si="2"/>
        <v>-0.91629785729702296</v>
      </c>
      <c r="C79" s="183">
        <f>ACOS(SIN($D$4)*SIN(SOLARRAD!$F$13)+COS($D$4)*COS(SOLARRAD!$F$13)*COS(B79))</f>
        <v>1.3586083991661515</v>
      </c>
      <c r="D79" s="183">
        <f>ACOS((SIN(SOLARRAD!$F$13)-SIN($D$4)*COS(C79))/(COS($D$4)*SIN(C79)))</f>
        <v>2.2724540579081296</v>
      </c>
      <c r="E79" s="184">
        <f t="shared" si="0"/>
        <v>6.5464460112804037</v>
      </c>
      <c r="F79" s="182">
        <f t="shared" si="3"/>
        <v>0.22524380324095214</v>
      </c>
      <c r="G79" s="183">
        <f t="shared" si="4"/>
        <v>0.21218792762874505</v>
      </c>
      <c r="H79" s="183">
        <f t="shared" ref="H79:H97" si="6">COS(C79)*COS($D$5)+SIN(C79)*SIN($D$5)*COS(D79-$D$6)</f>
        <v>0.36405129296867211</v>
      </c>
    </row>
    <row r="80" spans="1:16" x14ac:dyDescent="0.2">
      <c r="A80" s="147">
        <f t="shared" si="5"/>
        <v>-3</v>
      </c>
      <c r="B80" s="147">
        <f t="shared" si="2"/>
        <v>-0.78539816339744828</v>
      </c>
      <c r="C80" s="10">
        <f>ACOS(SIN($D$4)*SIN(SOLARRAD!$F$13)+COS($D$4)*COS(SOLARRAD!$F$13)*COS(B80))</f>
        <v>1.286531857493157</v>
      </c>
      <c r="D80" s="10">
        <f>ACOS((SIN(SOLARRAD!$F$13)-SIN($D$4)*COS(C80))/(COS($D$4)*SIN(C80)))</f>
        <v>2.3755367992836476</v>
      </c>
      <c r="E80" s="118">
        <f t="shared" si="0"/>
        <v>7.2119030052701447</v>
      </c>
      <c r="F80" s="147">
        <f t="shared" si="3"/>
        <v>0.20506582248884822</v>
      </c>
      <c r="G80" s="10">
        <f t="shared" si="4"/>
        <v>0.28426446930173954</v>
      </c>
      <c r="H80" s="10">
        <f t="shared" si="6"/>
        <v>0.39650074673206931</v>
      </c>
      <c r="O80" s="10" t="s">
        <v>156</v>
      </c>
      <c r="P80" s="10">
        <f>PI()/2</f>
        <v>1.5707963267948966</v>
      </c>
    </row>
    <row r="81" spans="1:14" x14ac:dyDescent="0.2">
      <c r="A81" s="147">
        <f t="shared" si="5"/>
        <v>-2.5</v>
      </c>
      <c r="B81" s="147">
        <f t="shared" si="2"/>
        <v>-0.65449846949787349</v>
      </c>
      <c r="C81" s="10">
        <f>ACOS(SIN($D$4)*SIN(SOLARRAD!$F$13)+COS($D$4)*COS(SOLARRAD!$F$13)*COS(B81))</f>
        <v>1.2220601872158909</v>
      </c>
      <c r="D81" s="10">
        <f>ACOS((SIN(SOLARRAD!$F$13)-SIN($D$4)*COS(C81))/(COS($D$4)*SIN(C81)))</f>
        <v>2.4860173022271566</v>
      </c>
      <c r="E81" s="118">
        <f t="shared" si="0"/>
        <v>8.2018922188211238</v>
      </c>
      <c r="F81" s="147">
        <f t="shared" si="3"/>
        <v>0.1808856247401544</v>
      </c>
      <c r="G81" s="10">
        <f t="shared" si="4"/>
        <v>0.34873613957900562</v>
      </c>
      <c r="H81" s="10">
        <f t="shared" si="6"/>
        <v>0.41808928699534725</v>
      </c>
    </row>
    <row r="82" spans="1:14" x14ac:dyDescent="0.2">
      <c r="A82" s="147">
        <f t="shared" si="5"/>
        <v>-2</v>
      </c>
      <c r="B82" s="147">
        <f t="shared" si="2"/>
        <v>-0.52359877559829882</v>
      </c>
      <c r="C82" s="10">
        <f>ACOS(SIN($D$4)*SIN(SOLARRAD!$F$13)+COS($D$4)*COS(SOLARRAD!$F$13)*COS(B82))</f>
        <v>1.1665483584357113</v>
      </c>
      <c r="D82" s="10">
        <f>ACOS((SIN(SOLARRAD!$F$13)-SIN($D$4)*COS(C82))/(COS($D$4)*SIN(C82)))</f>
        <v>2.6042965685623578</v>
      </c>
      <c r="E82" s="118">
        <f t="shared" si="0"/>
        <v>9.7691559455924395</v>
      </c>
      <c r="F82" s="147">
        <f t="shared" si="3"/>
        <v>0.1523546193434086</v>
      </c>
      <c r="G82" s="10">
        <f t="shared" si="4"/>
        <v>0.40424796835918531</v>
      </c>
      <c r="H82" s="10">
        <f t="shared" si="6"/>
        <v>0.42844752784912715</v>
      </c>
    </row>
    <row r="83" spans="1:14" x14ac:dyDescent="0.2">
      <c r="A83" s="147">
        <f t="shared" si="5"/>
        <v>-1.5</v>
      </c>
      <c r="B83" s="147">
        <f t="shared" si="2"/>
        <v>-0.39269908169872414</v>
      </c>
      <c r="C83" s="10">
        <f>ACOS(SIN($D$4)*SIN(SOLARRAD!$F$13)+COS($D$4)*COS(SOLARRAD!$F$13)*COS(B83))</f>
        <v>1.1214023062012064</v>
      </c>
      <c r="D83" s="10">
        <f>ACOS((SIN(SOLARRAD!$F$13)-SIN($D$4)*COS(C83))/(COS($D$4)*SIN(C83)))</f>
        <v>2.7302353947294842</v>
      </c>
      <c r="E83" s="118">
        <f t="shared" si="0"/>
        <v>12.504572584081716</v>
      </c>
      <c r="F83" s="147">
        <f t="shared" si="3"/>
        <v>0.1193856679514366</v>
      </c>
      <c r="G83" s="10">
        <f t="shared" si="4"/>
        <v>0.44939402059369016</v>
      </c>
      <c r="H83" s="10">
        <f t="shared" si="6"/>
        <v>0.42739823692055412</v>
      </c>
    </row>
    <row r="84" spans="1:14" x14ac:dyDescent="0.2">
      <c r="A84" s="147">
        <f t="shared" si="5"/>
        <v>-1</v>
      </c>
      <c r="B84" s="147">
        <f t="shared" si="2"/>
        <v>-0.26179938779914941</v>
      </c>
      <c r="C84" s="10">
        <f>ACOS(SIN($D$4)*SIN(SOLARRAD!$F$13)+COS($D$4)*COS(SOLARRAD!$F$13)*COS(B84))</f>
        <v>1.0879700316521261</v>
      </c>
      <c r="D84" s="10">
        <f>ACOS((SIN(SOLARRAD!$F$13)-SIN($D$4)*COS(C84))/(COS($D$4)*SIN(C84)))</f>
        <v>2.8629829576521835</v>
      </c>
      <c r="E84" s="118">
        <f t="shared" si="0"/>
        <v>18.180547353336813</v>
      </c>
      <c r="F84" s="147">
        <f t="shared" si="3"/>
        <v>8.2319316591418973E-2</v>
      </c>
      <c r="G84" s="10">
        <f t="shared" si="4"/>
        <v>0.48282629514277042</v>
      </c>
      <c r="H84" s="10">
        <f t="shared" si="6"/>
        <v>0.41495936786833415</v>
      </c>
    </row>
    <row r="85" spans="1:14" x14ac:dyDescent="0.2">
      <c r="A85" s="147">
        <f t="shared" si="5"/>
        <v>-0.5</v>
      </c>
      <c r="B85" s="147">
        <f t="shared" si="2"/>
        <v>-0.1308996938995747</v>
      </c>
      <c r="C85" s="10">
        <f>ACOS(SIN($D$4)*SIN(SOLARRAD!$F$13)+COS($D$4)*COS(SOLARRAD!$F$13)*COS(B85))</f>
        <v>1.0673926393898996</v>
      </c>
      <c r="D85" s="10">
        <f>ACOS((SIN(SOLARRAD!$F$13)-SIN($D$4)*COS(C85))/(COS($D$4)*SIN(C85)))</f>
        <v>3.0008903729838883</v>
      </c>
      <c r="E85" s="118">
        <f t="shared" si="0"/>
        <v>35.653549977041415</v>
      </c>
      <c r="F85" s="147">
        <f t="shared" si="3"/>
        <v>4.2046750804208784E-2</v>
      </c>
      <c r="G85" s="10">
        <f t="shared" si="4"/>
        <v>0.50340368740499697</v>
      </c>
      <c r="H85" s="10">
        <f t="shared" si="6"/>
        <v>0.39134375319065701</v>
      </c>
    </row>
    <row r="86" spans="1:14" x14ac:dyDescent="0.2">
      <c r="A86" s="147">
        <f t="shared" si="5"/>
        <v>0</v>
      </c>
      <c r="B86" s="147">
        <f t="shared" si="2"/>
        <v>0</v>
      </c>
      <c r="C86" s="10">
        <f>ACOS(SIN($D$4)*SIN(SOLARRAD!$F$13)+COS($D$4)*COS(SOLARRAD!$F$13)*COS(B86))</f>
        <v>1.060442204695482</v>
      </c>
      <c r="D86" s="10">
        <f>ACOS((SIN(SOLARRAD!$F$13)-SIN($D$4)*COS(C86))/(COS($D$4)*SIN(C86)))</f>
        <v>3.1415926535897931</v>
      </c>
      <c r="E86" s="118">
        <f t="shared" si="0"/>
        <v>8.162276138809536E+16</v>
      </c>
      <c r="F86" s="147">
        <f t="shared" si="3"/>
        <v>1.83772268236293E-17</v>
      </c>
      <c r="G86" s="10">
        <f t="shared" si="4"/>
        <v>0.51035412209941455</v>
      </c>
      <c r="H86" s="10">
        <f t="shared" si="6"/>
        <v>0.35695546260214323</v>
      </c>
    </row>
    <row r="87" spans="1:14" x14ac:dyDescent="0.2">
      <c r="A87" s="147">
        <f t="shared" si="5"/>
        <v>0.5</v>
      </c>
      <c r="B87" s="147">
        <f t="shared" si="2"/>
        <v>0.1308996938995747</v>
      </c>
      <c r="C87" s="10">
        <f>ACOS(SIN($D$4)*SIN(SOLARRAD!$F$13)+COS($D$4)*COS(SOLARRAD!$F$13)*COS(B87))</f>
        <v>1.0673926393898996</v>
      </c>
      <c r="D87" s="10">
        <f>2*PI()-ACOS((SIN(SOLARRAD!$F$13)-SIN($D$4)*COS(C87))/(COS($D$4)*SIN(C87)))</f>
        <v>3.282294934195698</v>
      </c>
      <c r="E87" s="118">
        <f>-$B$71/COS(D87-PI()/2)</f>
        <v>35.653549977041443</v>
      </c>
      <c r="F87" s="147">
        <f t="shared" si="3"/>
        <v>4.2046750804208749E-2</v>
      </c>
      <c r="G87" s="10">
        <f t="shared" si="4"/>
        <v>0.50340368740499697</v>
      </c>
      <c r="H87" s="10">
        <f t="shared" si="6"/>
        <v>0.31238288928899738</v>
      </c>
    </row>
    <row r="88" spans="1:14" x14ac:dyDescent="0.2">
      <c r="A88" s="147">
        <f t="shared" si="5"/>
        <v>1</v>
      </c>
      <c r="B88" s="147">
        <f t="shared" si="2"/>
        <v>0.26179938779914941</v>
      </c>
      <c r="C88" s="10">
        <f>ACOS(SIN($D$4)*SIN(SOLARRAD!$F$13)+COS($D$4)*COS(SOLARRAD!$F$13)*COS(B88))</f>
        <v>1.0879700316521261</v>
      </c>
      <c r="D88" s="10">
        <f>2*PI()-ACOS((SIN(SOLARRAD!$F$13)-SIN($D$4)*COS(C88))/(COS($D$4)*SIN(C88)))</f>
        <v>3.4202023495274028</v>
      </c>
      <c r="E88" s="118">
        <f t="shared" ref="E88:E97" si="7">-$B$71/COS(D88-PI()/2)</f>
        <v>18.18054735333682</v>
      </c>
      <c r="F88" s="147">
        <f>ATAN($B$72/E88)</f>
        <v>8.2319316591418959E-2</v>
      </c>
      <c r="G88" s="10">
        <f>PI()/2-C88</f>
        <v>0.48282629514277042</v>
      </c>
      <c r="H88" s="10">
        <f t="shared" si="6"/>
        <v>0.25838868233845969</v>
      </c>
    </row>
    <row r="89" spans="1:14" x14ac:dyDescent="0.2">
      <c r="A89" s="147">
        <f t="shared" si="5"/>
        <v>1.5</v>
      </c>
      <c r="B89" s="147">
        <f t="shared" si="2"/>
        <v>0.39269908169872414</v>
      </c>
      <c r="C89" s="10">
        <f>ACOS(SIN($D$4)*SIN(SOLARRAD!$F$13)+COS($D$4)*COS(SOLARRAD!$F$13)*COS(B89))</f>
        <v>1.1214023062012064</v>
      </c>
      <c r="D89" s="10">
        <f>2*PI()-ACOS((SIN(SOLARRAD!$F$13)-SIN($D$4)*COS(C89))/(COS($D$4)*SIN(C89)))</f>
        <v>3.5529499124501021</v>
      </c>
      <c r="E89" s="118">
        <f t="shared" si="7"/>
        <v>12.504572584081719</v>
      </c>
      <c r="F89" s="147">
        <f t="shared" si="3"/>
        <v>0.11938566795143656</v>
      </c>
      <c r="G89" s="10">
        <f t="shared" ref="G89:G97" si="8">PI()/2-C89</f>
        <v>0.44939402059369016</v>
      </c>
      <c r="H89" s="10">
        <f t="shared" si="6"/>
        <v>0.19589669760147527</v>
      </c>
    </row>
    <row r="90" spans="1:14" x14ac:dyDescent="0.2">
      <c r="A90" s="147">
        <f t="shared" si="5"/>
        <v>2</v>
      </c>
      <c r="B90" s="147">
        <f t="shared" si="2"/>
        <v>0.52359877559829882</v>
      </c>
      <c r="C90" s="10">
        <f>ACOS(SIN($D$4)*SIN(SOLARRAD!$F$13)+COS($D$4)*COS(SOLARRAD!$F$13)*COS(B90))</f>
        <v>1.1665483584357113</v>
      </c>
      <c r="D90" s="10">
        <f>2*PI()-ACOS((SIN(SOLARRAD!$F$13)-SIN($D$4)*COS(C90))/(COS($D$4)*SIN(C90)))</f>
        <v>3.6788887386172284</v>
      </c>
      <c r="E90" s="118">
        <f t="shared" si="7"/>
        <v>9.769155945592443</v>
      </c>
      <c r="F90" s="147">
        <f t="shared" si="3"/>
        <v>0.15235461934340855</v>
      </c>
      <c r="G90" s="10">
        <f t="shared" si="8"/>
        <v>0.40424796835918531</v>
      </c>
      <c r="H90" s="10">
        <f t="shared" si="6"/>
        <v>0.1259761902629464</v>
      </c>
      <c r="I90" s="185" t="s">
        <v>133</v>
      </c>
      <c r="J90" s="185"/>
      <c r="K90" s="185"/>
      <c r="L90" s="185"/>
      <c r="M90" s="185"/>
      <c r="N90" s="185"/>
    </row>
    <row r="91" spans="1:14" x14ac:dyDescent="0.2">
      <c r="A91" s="147">
        <f t="shared" si="5"/>
        <v>2.5</v>
      </c>
      <c r="B91" s="147">
        <f t="shared" si="2"/>
        <v>0.65449846949787349</v>
      </c>
      <c r="C91" s="10">
        <f>ACOS(SIN($D$4)*SIN(SOLARRAD!$F$13)+COS($D$4)*COS(SOLARRAD!$F$13)*COS(B91))</f>
        <v>1.2220601872158909</v>
      </c>
      <c r="D91" s="10">
        <f>2*PI()-ACOS((SIN(SOLARRAD!$F$13)-SIN($D$4)*COS(C91))/(COS($D$4)*SIN(C91)))</f>
        <v>3.7971680049524297</v>
      </c>
      <c r="E91" s="118">
        <f t="shared" si="7"/>
        <v>8.2018922188211256</v>
      </c>
      <c r="F91" s="147">
        <f t="shared" si="3"/>
        <v>0.18088562474015435</v>
      </c>
      <c r="G91" s="10">
        <f t="shared" si="8"/>
        <v>0.34873613957900562</v>
      </c>
      <c r="H91" s="10">
        <f t="shared" si="6"/>
        <v>4.9823519589062226E-2</v>
      </c>
      <c r="I91" s="185"/>
      <c r="J91" s="185"/>
      <c r="K91" s="185"/>
      <c r="L91" s="185"/>
      <c r="M91" s="185"/>
      <c r="N91" s="185"/>
    </row>
    <row r="92" spans="1:14" x14ac:dyDescent="0.2">
      <c r="A92" s="182">
        <f t="shared" si="5"/>
        <v>3</v>
      </c>
      <c r="B92" s="182">
        <f t="shared" si="2"/>
        <v>0.78539816339744828</v>
      </c>
      <c r="C92" s="183">
        <f>ACOS(SIN($D$4)*SIN(SOLARRAD!$F$13)+COS($D$4)*COS(SOLARRAD!$F$13)*COS(B92))</f>
        <v>1.286531857493157</v>
      </c>
      <c r="D92" s="183">
        <f>2*PI()-ACOS((SIN(SOLARRAD!$F$13)-SIN($D$4)*COS(C92))/(COS($D$4)*SIN(C92)))</f>
        <v>3.9076485078959386</v>
      </c>
      <c r="E92" s="184">
        <f t="shared" si="7"/>
        <v>7.2119030052701456</v>
      </c>
      <c r="F92" s="182">
        <f t="shared" si="3"/>
        <v>0.20506582248884819</v>
      </c>
      <c r="G92" s="183">
        <f t="shared" si="8"/>
        <v>0.28426446930173954</v>
      </c>
      <c r="H92" s="183">
        <f t="shared" si="6"/>
        <v>-3.1258321111438614E-2</v>
      </c>
    </row>
    <row r="93" spans="1:14" x14ac:dyDescent="0.2">
      <c r="A93" s="147">
        <f t="shared" si="5"/>
        <v>3.5</v>
      </c>
      <c r="B93" s="147">
        <f t="shared" si="2"/>
        <v>0.91629785729702296</v>
      </c>
      <c r="C93" s="10">
        <f>ACOS(SIN($D$4)*SIN(SOLARRAD!$F$13)+COS($D$4)*COS(SOLARRAD!$F$13)*COS(B93))</f>
        <v>1.3586083991661515</v>
      </c>
      <c r="D93" s="10">
        <f>2*PI()-ACOS((SIN(SOLARRAD!$F$13)-SIN($D$4)*COS(C93))/(COS($D$4)*SIN(C93)))</f>
        <v>4.0107312492714566</v>
      </c>
      <c r="E93" s="118">
        <f t="shared" si="7"/>
        <v>6.5464460112804046</v>
      </c>
      <c r="F93" s="147">
        <f t="shared" si="3"/>
        <v>0.22524380324095211</v>
      </c>
      <c r="G93" s="10">
        <f t="shared" si="8"/>
        <v>0.21218792762874505</v>
      </c>
      <c r="H93" s="10">
        <f t="shared" si="6"/>
        <v>-0.11588199906403676</v>
      </c>
    </row>
    <row r="94" spans="1:14" x14ac:dyDescent="0.2">
      <c r="A94" s="147">
        <f t="shared" si="5"/>
        <v>4</v>
      </c>
      <c r="B94" s="147">
        <f t="shared" si="2"/>
        <v>1.0471975511965976</v>
      </c>
      <c r="C94" s="10">
        <f>ACOS(SIN($D$4)*SIN(SOLARRAD!$F$13)+COS($D$4)*COS(SOLARRAD!$F$13)*COS(B94))</f>
        <v>1.4370492066279854</v>
      </c>
      <c r="D94" s="10">
        <f>2*PI()-ACOS((SIN(SOLARRAD!$F$13)-SIN($D$4)*COS(C94))/(COS($D$4)*SIN(C94)))</f>
        <v>4.1071771610948575</v>
      </c>
      <c r="E94" s="118">
        <f t="shared" si="7"/>
        <v>6.0799025333660541</v>
      </c>
      <c r="F94" s="147">
        <f t="shared" si="3"/>
        <v>0.24188402777476053</v>
      </c>
      <c r="G94" s="10">
        <f t="shared" si="8"/>
        <v>0.13374712016691115</v>
      </c>
      <c r="H94" s="10">
        <f t="shared" si="6"/>
        <v>-0.20259957967684741</v>
      </c>
    </row>
    <row r="95" spans="1:14" x14ac:dyDescent="0.2">
      <c r="A95" s="147">
        <f t="shared" si="5"/>
        <v>4.5</v>
      </c>
      <c r="B95" s="147">
        <f t="shared" si="2"/>
        <v>1.1780972450961724</v>
      </c>
      <c r="C95" s="10">
        <f>ACOS(SIN($D$4)*SIN(SOLARRAD!$F$13)+COS($D$4)*COS(SOLARRAD!$F$13)*COS(B95))</f>
        <v>1.5207537539806899</v>
      </c>
      <c r="D95" s="10">
        <f>2*PI()-ACOS((SIN(SOLARRAD!$F$13)-SIN($D$4)*COS(C95))/(COS($D$4)*SIN(C95)))</f>
        <v>4.1979619766528593</v>
      </c>
      <c r="E95" s="118">
        <f t="shared" si="7"/>
        <v>5.7433318765356871</v>
      </c>
      <c r="F95" s="147">
        <f t="shared" si="3"/>
        <v>0.25546594621543089</v>
      </c>
      <c r="G95" s="10">
        <f t="shared" si="8"/>
        <v>5.0042572814206654E-2</v>
      </c>
      <c r="H95" s="10">
        <f t="shared" si="6"/>
        <v>-0.2899273011029298</v>
      </c>
    </row>
    <row r="96" spans="1:14" x14ac:dyDescent="0.2">
      <c r="A96" s="147">
        <f t="shared" si="5"/>
        <v>5</v>
      </c>
      <c r="B96" s="147">
        <f t="shared" si="2"/>
        <v>1.308996938995747</v>
      </c>
      <c r="C96" s="10">
        <f>ACOS(SIN($D$4)*SIN(SOLARRAD!$F$13)+COS($D$4)*COS(SOLARRAD!$F$13)*COS(B96))</f>
        <v>1.6087615473453314</v>
      </c>
      <c r="D96" s="10">
        <f>2*PI()-ACOS((SIN(SOLARRAD!$F$13)-SIN($D$4)*COS(C96))/(COS($D$4)*SIN(C96)))</f>
        <v>4.2841808089559255</v>
      </c>
      <c r="E96" s="118">
        <f t="shared" si="7"/>
        <v>5.4962494900759138</v>
      </c>
      <c r="F96" s="147">
        <f t="shared" si="3"/>
        <v>0.26642525954415647</v>
      </c>
      <c r="G96" s="10">
        <f t="shared" si="8"/>
        <v>-3.7965220550434831E-2</v>
      </c>
      <c r="H96" s="10">
        <f t="shared" si="6"/>
        <v>-0.37637096181686486</v>
      </c>
    </row>
    <row r="97" spans="1:9" x14ac:dyDescent="0.2">
      <c r="A97" s="147">
        <f t="shared" si="5"/>
        <v>5.5</v>
      </c>
      <c r="B97" s="147">
        <f t="shared" si="2"/>
        <v>1.4398966328953218</v>
      </c>
      <c r="C97" s="10">
        <f>ACOS(SIN($D$4)*SIN(SOLARRAD!$F$13)+COS($D$4)*COS(SOLARRAD!$F$13)*COS(B97))</f>
        <v>1.7002368027257106</v>
      </c>
      <c r="D97" s="10">
        <f>2*PI()-ACOS((SIN(SOLARRAD!$F$13)-SIN($D$4)*COS(C97))/(COS($D$4)*SIN(C97)))</f>
        <v>4.3670004179508304</v>
      </c>
      <c r="E97" s="118">
        <f t="shared" si="7"/>
        <v>5.3138126752162425</v>
      </c>
      <c r="F97" s="147">
        <f t="shared" si="3"/>
        <v>0.27512464818643845</v>
      </c>
      <c r="G97" s="10">
        <f t="shared" si="8"/>
        <v>-0.12944047593081409</v>
      </c>
      <c r="H97" s="10">
        <f t="shared" si="6"/>
        <v>-0.46045148681712689</v>
      </c>
    </row>
    <row r="98" spans="1:9" x14ac:dyDescent="0.2">
      <c r="A98" s="147"/>
      <c r="B98" s="147"/>
      <c r="E98" s="118"/>
      <c r="F98" s="147"/>
    </row>
    <row r="99" spans="1:9" x14ac:dyDescent="0.2">
      <c r="A99" s="153" t="s">
        <v>138</v>
      </c>
      <c r="B99" s="147"/>
      <c r="E99" s="118"/>
      <c r="F99" s="147"/>
    </row>
    <row r="100" spans="1:9" x14ac:dyDescent="0.2">
      <c r="A100" s="118" t="s">
        <v>137</v>
      </c>
      <c r="B100" s="147"/>
      <c r="E100" s="118"/>
      <c r="F100" s="147"/>
    </row>
    <row r="101" spans="1:9" x14ac:dyDescent="0.2">
      <c r="A101" s="175">
        <v>-3.5</v>
      </c>
      <c r="B101" s="147">
        <f t="shared" si="2"/>
        <v>-0.91629785729702296</v>
      </c>
      <c r="C101" s="10">
        <f>ACOS(SIN($D$4)*SIN(SOLARRAD!$F$13)+COS($D$4)*COS(SOLARRAD!$F$13)*COS(B101))</f>
        <v>1.3586083991661515</v>
      </c>
      <c r="D101" s="10">
        <f>ACOS((SIN(SOLARRAD!$F$13)-SIN($D$4)*COS(C101))/(COS($D$4)*SIN(C101)))</f>
        <v>2.2724540579081296</v>
      </c>
      <c r="E101" s="118">
        <f>$B$71/COS(D101-PI()/2)</f>
        <v>6.5464460112804037</v>
      </c>
      <c r="F101" s="147">
        <f>ATAN($B$72/E101)</f>
        <v>0.22524380324095214</v>
      </c>
      <c r="G101" s="10">
        <f>PI()/2-C101</f>
        <v>0.21218792762874505</v>
      </c>
      <c r="H101" s="10">
        <f>COS(C101)*COS($D$5)+SIN(C101)*SIN($D$5)*COS(D101-$D$6)</f>
        <v>0.36405129296867211</v>
      </c>
    </row>
    <row r="102" spans="1:9" x14ac:dyDescent="0.2">
      <c r="A102" s="175"/>
      <c r="B102" s="147"/>
      <c r="E102" s="118"/>
      <c r="F102" s="147" t="s">
        <v>136</v>
      </c>
      <c r="G102" s="10">
        <f>F101-G101</f>
        <v>1.3055875612207085E-2</v>
      </c>
    </row>
    <row r="103" spans="1:9" x14ac:dyDescent="0.2">
      <c r="A103" s="170" t="s">
        <v>152</v>
      </c>
      <c r="B103" s="147"/>
      <c r="E103" s="118"/>
      <c r="F103" s="180">
        <f>-A101</f>
        <v>3.5</v>
      </c>
      <c r="G103" s="2" t="s">
        <v>151</v>
      </c>
    </row>
    <row r="104" spans="1:9" x14ac:dyDescent="0.2">
      <c r="A104" s="166"/>
      <c r="B104" s="147"/>
      <c r="E104" s="118"/>
      <c r="F104" s="147"/>
    </row>
    <row r="105" spans="1:9" x14ac:dyDescent="0.2">
      <c r="A105" s="118" t="s">
        <v>157</v>
      </c>
      <c r="B105" s="147"/>
      <c r="E105" s="118"/>
      <c r="F105" s="147"/>
    </row>
    <row r="106" spans="1:9" x14ac:dyDescent="0.2">
      <c r="A106" s="177">
        <v>3</v>
      </c>
      <c r="B106" s="147">
        <f>PI()/12*A106</f>
        <v>0.78539816339744828</v>
      </c>
      <c r="C106" s="10">
        <f>ACOS(SIN($D$4)*SIN(SOLARRAD!$F$13)+COS($D$4)*COS(SOLARRAD!$F$13)*COS(B106))</f>
        <v>1.286531857493157</v>
      </c>
      <c r="D106" s="10">
        <f>2*PI()-ACOS((SIN(SOLARRAD!$F$13)-SIN($D$4)*COS(C106))/(COS($D$4)*SIN(C106)))</f>
        <v>3.9076485078959386</v>
      </c>
      <c r="E106" s="118">
        <f>-$B$71/COS(D106-PI()/2)</f>
        <v>7.2119030052701456</v>
      </c>
      <c r="F106" s="147">
        <f>ATAN($B$72/E106)</f>
        <v>0.20506582248884819</v>
      </c>
      <c r="G106" s="10">
        <f>PI()/2-C106</f>
        <v>0.28426446930173954</v>
      </c>
      <c r="H106" s="10">
        <f>COS(C106)*COS($D$5)+SIN(C106)*SIN($D$5)*COS(D106-$D$6)</f>
        <v>-3.1258321111438614E-2</v>
      </c>
    </row>
    <row r="107" spans="1:9" x14ac:dyDescent="0.2">
      <c r="A107" s="176" t="s">
        <v>153</v>
      </c>
      <c r="B107" s="147"/>
      <c r="E107" s="118"/>
      <c r="F107" s="180">
        <f>A106</f>
        <v>3</v>
      </c>
      <c r="G107" s="2" t="s">
        <v>154</v>
      </c>
    </row>
    <row r="108" spans="1:9" x14ac:dyDescent="0.2">
      <c r="A108" s="176"/>
      <c r="B108" s="147"/>
      <c r="E108" s="118"/>
      <c r="F108" s="147"/>
    </row>
    <row r="109" spans="1:9" x14ac:dyDescent="0.2">
      <c r="A109" s="176" t="s">
        <v>139</v>
      </c>
      <c r="B109" s="147"/>
      <c r="E109" s="118"/>
      <c r="F109" s="147"/>
    </row>
    <row r="110" spans="1:9" x14ac:dyDescent="0.2">
      <c r="A110" s="176"/>
      <c r="B110" s="147"/>
      <c r="C110" s="10" t="s">
        <v>144</v>
      </c>
      <c r="E110" s="118">
        <f>0.5/24</f>
        <v>2.0833333333333332E-2</v>
      </c>
      <c r="F110" s="118" t="s">
        <v>143</v>
      </c>
      <c r="I110" s="10" t="s">
        <v>134</v>
      </c>
    </row>
    <row r="111" spans="1:9" x14ac:dyDescent="0.2">
      <c r="A111" s="176"/>
      <c r="B111" s="147"/>
      <c r="E111" s="118"/>
      <c r="F111" s="118"/>
      <c r="G111" s="10" t="s">
        <v>101</v>
      </c>
      <c r="H111" s="10">
        <f>SUM(H79:H91)</f>
        <v>4.1402136542078454</v>
      </c>
    </row>
    <row r="112" spans="1:9" x14ac:dyDescent="0.2">
      <c r="A112" s="118" t="s">
        <v>102</v>
      </c>
      <c r="B112" s="118"/>
      <c r="E112" s="156">
        <f>H111*E110*$B$9*$B$10</f>
        <v>10.445373370902727</v>
      </c>
      <c r="F112" s="167" t="s">
        <v>9</v>
      </c>
    </row>
    <row r="113" spans="1:7" x14ac:dyDescent="0.2">
      <c r="A113" s="118" t="s">
        <v>140</v>
      </c>
      <c r="B113" s="118"/>
      <c r="E113" s="156"/>
      <c r="F113" s="167"/>
    </row>
    <row r="114" spans="1:7" x14ac:dyDescent="0.2">
      <c r="A114" s="118" t="s">
        <v>158</v>
      </c>
      <c r="B114" s="118"/>
      <c r="E114" s="156"/>
      <c r="F114" s="167"/>
    </row>
    <row r="115" spans="1:7" x14ac:dyDescent="0.2">
      <c r="A115" s="118"/>
      <c r="B115" s="118"/>
      <c r="E115" s="156"/>
      <c r="F115" s="167"/>
    </row>
    <row r="116" spans="1:7" x14ac:dyDescent="0.2">
      <c r="A116" s="153" t="s">
        <v>141</v>
      </c>
      <c r="B116" s="147"/>
      <c r="E116" s="118"/>
      <c r="F116" s="147"/>
    </row>
    <row r="117" spans="1:7" x14ac:dyDescent="0.2">
      <c r="A117" s="118" t="s">
        <v>142</v>
      </c>
      <c r="B117" s="147"/>
      <c r="E117" s="156">
        <f>SOLARRAD!$C$42</f>
        <v>11.965324239436429</v>
      </c>
      <c r="F117" s="167" t="s">
        <v>9</v>
      </c>
    </row>
    <row r="118" spans="1:7" x14ac:dyDescent="0.2">
      <c r="A118" s="118" t="s">
        <v>159</v>
      </c>
      <c r="B118" s="147"/>
      <c r="E118" s="156"/>
      <c r="F118" s="154"/>
    </row>
    <row r="119" spans="1:7" x14ac:dyDescent="0.2">
      <c r="A119" s="118"/>
      <c r="B119" s="147"/>
      <c r="E119" s="156"/>
      <c r="F119" s="154"/>
    </row>
    <row r="120" spans="1:7" x14ac:dyDescent="0.2">
      <c r="A120" s="153" t="s">
        <v>145</v>
      </c>
      <c r="B120" s="147"/>
      <c r="E120" s="156"/>
      <c r="F120" s="154"/>
    </row>
    <row r="121" spans="1:7" x14ac:dyDescent="0.2">
      <c r="A121" s="118" t="s">
        <v>103</v>
      </c>
      <c r="B121" s="147"/>
      <c r="E121" s="156"/>
      <c r="F121" s="154"/>
    </row>
    <row r="122" spans="1:7" x14ac:dyDescent="0.2">
      <c r="A122" s="118" t="s">
        <v>104</v>
      </c>
      <c r="B122" s="178">
        <f>A101</f>
        <v>-3.5</v>
      </c>
      <c r="E122" s="156"/>
      <c r="F122" s="154"/>
    </row>
    <row r="123" spans="1:7" x14ac:dyDescent="0.2">
      <c r="A123" s="118" t="s">
        <v>92</v>
      </c>
      <c r="B123" s="178">
        <f>A106</f>
        <v>3</v>
      </c>
      <c r="E123" s="156"/>
      <c r="F123" s="154"/>
    </row>
    <row r="124" spans="1:7" x14ac:dyDescent="0.2">
      <c r="A124" s="118" t="s">
        <v>142</v>
      </c>
      <c r="B124" s="147"/>
      <c r="C124" s="10" t="s">
        <v>91</v>
      </c>
      <c r="E124" s="157">
        <f>SOLARRAD!D39</f>
        <v>0.78211027950207079</v>
      </c>
      <c r="F124" s="158" t="s">
        <v>147</v>
      </c>
    </row>
    <row r="125" spans="1:7" x14ac:dyDescent="0.2">
      <c r="A125" s="118"/>
      <c r="B125" s="147"/>
      <c r="C125" s="10" t="s">
        <v>105</v>
      </c>
      <c r="E125" s="157">
        <f>SOLARRAD!D38</f>
        <v>0.47016390418205611</v>
      </c>
      <c r="F125" s="158" t="s">
        <v>146</v>
      </c>
    </row>
    <row r="126" spans="1:7" x14ac:dyDescent="0.2">
      <c r="A126" s="10" t="s">
        <v>106</v>
      </c>
      <c r="E126" s="179">
        <f>(B9/24)*B10*(COS(DirectApproach!B14)*COS(SOLARRAD!F13)*((SIN(DirectApproach!B11*DirectApproach!B123+DirectApproach!B15)-SIN(DirectApproach!B11*DirectApproach!B122+DirectApproach!B15))/DirectApproach!B11)+SIN(DirectApproach!B14)*SIN(SOLARRAD!F13)*(DirectApproach!B123-DirectApproach!B122))</f>
        <v>9.9721131692819611</v>
      </c>
      <c r="F126" s="167" t="s">
        <v>9</v>
      </c>
      <c r="G126" s="10" t="s">
        <v>148</v>
      </c>
    </row>
    <row r="127" spans="1:7" x14ac:dyDescent="0.2">
      <c r="A127" s="118" t="s">
        <v>160</v>
      </c>
    </row>
    <row r="129" spans="1:8" x14ac:dyDescent="0.2">
      <c r="A129" s="185" t="s">
        <v>161</v>
      </c>
      <c r="B129" s="185"/>
      <c r="C129" s="185"/>
      <c r="D129" s="185"/>
      <c r="E129" s="185"/>
      <c r="F129" s="185"/>
      <c r="G129" s="185"/>
      <c r="H129" s="185"/>
    </row>
    <row r="130" spans="1:8" x14ac:dyDescent="0.2">
      <c r="A130" s="185"/>
      <c r="B130" s="185"/>
      <c r="C130" s="185"/>
      <c r="D130" s="185"/>
      <c r="E130" s="185"/>
      <c r="F130" s="185"/>
      <c r="G130" s="185"/>
      <c r="H130" s="185"/>
    </row>
    <row r="131" spans="1:8" ht="57.6" customHeight="1" x14ac:dyDescent="0.2">
      <c r="A131" s="185"/>
      <c r="B131" s="185"/>
      <c r="C131" s="185"/>
      <c r="D131" s="185"/>
      <c r="E131" s="185"/>
      <c r="F131" s="185"/>
      <c r="G131" s="185"/>
      <c r="H131" s="185"/>
    </row>
    <row r="132" spans="1:8" x14ac:dyDescent="0.2">
      <c r="E132" s="152">
        <f>E126*SOLARRAD!C47/SOLARRAD!C42</f>
        <v>7.4310427321685619</v>
      </c>
      <c r="F132" s="167" t="s">
        <v>9</v>
      </c>
    </row>
  </sheetData>
  <mergeCells count="4">
    <mergeCell ref="A42:I42"/>
    <mergeCell ref="A129:H131"/>
    <mergeCell ref="D22:G22"/>
    <mergeCell ref="I90:N91"/>
  </mergeCells>
  <phoneticPr fontId="16" type="noConversion"/>
  <pageMargins left="0.75" right="0.75" top="1" bottom="1" header="0.5" footer="0.5"/>
  <pageSetup scale="83" orientation="landscape" r:id="rId1"/>
  <headerFooter alignWithMargins="0"/>
  <rowBreaks count="3" manualBreakCount="3">
    <brk id="37" max="16383" man="1"/>
    <brk id="70" max="16383" man="1"/>
    <brk id="115" max="16383" man="1"/>
  </rowBreaks>
  <drawing r:id="rId2"/>
  <legacyDrawing r:id="rId3"/>
  <oleObjects>
    <mc:AlternateContent xmlns:mc="http://schemas.openxmlformats.org/markup-compatibility/2006">
      <mc:Choice Requires="x14">
        <oleObject progId="Word.Picture.8" shapeId="9217" r:id="rId4">
          <objectPr defaultSize="0" autoPict="0" r:id="rId5">
            <anchor moveWithCells="1">
              <from>
                <xdr:col>0</xdr:col>
                <xdr:colOff>266700</xdr:colOff>
                <xdr:row>42</xdr:row>
                <xdr:rowOff>19050</xdr:rowOff>
              </from>
              <to>
                <xdr:col>5</xdr:col>
                <xdr:colOff>476250</xdr:colOff>
                <xdr:row>68</xdr:row>
                <xdr:rowOff>85725</xdr:rowOff>
              </to>
            </anchor>
          </objectPr>
        </oleObject>
      </mc:Choice>
      <mc:Fallback>
        <oleObject progId="Word.Picture.8" shapeId="9217"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SOLARRAD</vt:lpstr>
      <vt:lpstr>DirectApproach</vt:lpstr>
    </vt:vector>
  </TitlesOfParts>
  <Company>USU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Tarboton</dc:creator>
  <cp:lastModifiedBy>David Tarboton</cp:lastModifiedBy>
  <cp:lastPrinted>2012-11-04T21:34:50Z</cp:lastPrinted>
  <dcterms:created xsi:type="dcterms:W3CDTF">1999-10-21T16:15:24Z</dcterms:created>
  <dcterms:modified xsi:type="dcterms:W3CDTF">2013-11-23T15:53:57Z</dcterms:modified>
</cp:coreProperties>
</file>